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jefeSistemas\Desktop\Ricardo Cta Publica 4to Trimestre2019\Excell\"/>
    </mc:Choice>
  </mc:AlternateContent>
  <bookViews>
    <workbookView xWindow="-120" yWindow="-120" windowWidth="24240" windowHeight="13140" activeTab="5"/>
  </bookViews>
  <sheets>
    <sheet name="Datos Generales" sheetId="21" r:id="rId1"/>
    <sheet name="Info General" sheetId="23" state="hidden" r:id="rId2"/>
    <sheet name="datos" sheetId="22" state="hidden" r:id="rId3"/>
    <sheet name="F01" sheetId="15" state="hidden" r:id="rId4"/>
    <sheet name="F02" sheetId="16" state="hidden" r:id="rId5"/>
    <sheet name="Formato 1" sheetId="33" r:id="rId6"/>
    <sheet name="Formato 2" sheetId="34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 localSheetId="5">'Formato 1'!$A$7</definedName>
    <definedName name="ACTIVO">#REF!</definedName>
    <definedName name="ACTIVO_CIRCULANTE" localSheetId="5">'Formato 1'!$A$8</definedName>
    <definedName name="ACTIVO_CIRCULANTE">#REF!</definedName>
    <definedName name="ANIO" localSheetId="5">'[1]Info General'!$D$20</definedName>
    <definedName name="ANIO" localSheetId="6">'[1]Info General'!$D$20</definedName>
    <definedName name="ANIO">'Info General'!$D$20</definedName>
    <definedName name="ANIO_INFORME" localSheetId="5">'[1]Info General'!$C$12</definedName>
    <definedName name="ANIO_INFORME" localSheetId="6">'[1]Info General'!$C$12</definedName>
    <definedName name="ANIO_INFORME">'Info General'!$C$12</definedName>
    <definedName name="ANIO1P">'Info General'!$D$23</definedName>
    <definedName name="ANIO1R" localSheetId="5">'[1]Info General'!$H$25</definedName>
    <definedName name="ANIO1R" localSheetId="6">'[1]Info General'!$H$25</definedName>
    <definedName name="ANIO1R">'Info General'!$H$25</definedName>
    <definedName name="ANIO2P">'Info General'!$E$23</definedName>
    <definedName name="ANIO2R" localSheetId="5">'[1]Info General'!$G$25</definedName>
    <definedName name="ANIO2R" localSheetId="6">'[1]Info General'!$G$25</definedName>
    <definedName name="ANIO2R">'Info General'!$G$25</definedName>
    <definedName name="ANIO3P">'Info General'!$F$23</definedName>
    <definedName name="ANIO3R" localSheetId="5">'[1]Info General'!$F$25</definedName>
    <definedName name="ANIO3R" localSheetId="6">'[1]Info General'!$F$25</definedName>
    <definedName name="ANIO3R">'Info General'!$F$25</definedName>
    <definedName name="ANIO4P">'Info General'!$G$23</definedName>
    <definedName name="ANIO4R" localSheetId="5">'[1]Info General'!$E$25</definedName>
    <definedName name="ANIO4R" localSheetId="6">'[1]Info General'!$E$25</definedName>
    <definedName name="ANIO4R">'Info General'!$E$25</definedName>
    <definedName name="ANIO5P">'Info General'!$H$23</definedName>
    <definedName name="ANIO5R" localSheetId="5">'[1]Info General'!$D$25</definedName>
    <definedName name="ANIO5R" localSheetId="6">'[1]Info General'!$D$25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 localSheetId="5">'[1]Formato 3'!$E$13</definedName>
    <definedName name="APP_FIN_04" localSheetId="6">'[1]Formato 3'!$E$13</definedName>
    <definedName name="APP_FIN_04">'Formato 3'!$E$13</definedName>
    <definedName name="APP_FIN_05">'Formato 3'!$F$13</definedName>
    <definedName name="APP_FIN_06" localSheetId="5">'[1]Formato 3'!$G$13</definedName>
    <definedName name="APP_FIN_06" localSheetId="6">'[1]Formato 3'!$G$13</definedName>
    <definedName name="APP_FIN_06">'Formato 3'!$G$13</definedName>
    <definedName name="APP_FIN_07" localSheetId="5">'[1]Formato 3'!$H$13</definedName>
    <definedName name="APP_FIN_07" localSheetId="6">'[1]Formato 3'!$H$13</definedName>
    <definedName name="APP_FIN_07">'Formato 3'!$H$13</definedName>
    <definedName name="APP_FIN_08" localSheetId="5">'[1]Formato 3'!$I$13</definedName>
    <definedName name="APP_FIN_08" localSheetId="6">'[1]Formato 3'!$I$13</definedName>
    <definedName name="APP_FIN_08">'Formato 3'!$I$13</definedName>
    <definedName name="APP_FIN_09" localSheetId="5">'[1]Formato 3'!$J$13</definedName>
    <definedName name="APP_FIN_09" localSheetId="6">'[1]Formato 3'!$J$13</definedName>
    <definedName name="APP_FIN_09">'Formato 3'!$J$13</definedName>
    <definedName name="APP_FIN_10" localSheetId="5">'[1]Formato 3'!$K$13</definedName>
    <definedName name="APP_FIN_10" localSheetId="6">'[1]Formato 3'!$K$13</definedName>
    <definedName name="APP_FIN_10">'Formato 3'!$K$13</definedName>
    <definedName name="APP_T1">'Formato 3'!$B$8</definedName>
    <definedName name="APP_T10" localSheetId="5">'[1]Formato 3'!$K$8</definedName>
    <definedName name="APP_T10" localSheetId="6">'[1]Formato 3'!$K$8</definedName>
    <definedName name="APP_T10">'Formato 3'!$K$8</definedName>
    <definedName name="APP_T2">'Formato 3'!$C$8</definedName>
    <definedName name="APP_T3">'Formato 3'!$D$8</definedName>
    <definedName name="APP_T4" localSheetId="5">'[1]Formato 3'!$E$8</definedName>
    <definedName name="APP_T4" localSheetId="6">'[1]Formato 3'!$E$8</definedName>
    <definedName name="APP_T4">'Formato 3'!$E$8</definedName>
    <definedName name="APP_T5">'Formato 3'!$F$8</definedName>
    <definedName name="APP_T6" localSheetId="5">'[1]Formato 3'!$G$8</definedName>
    <definedName name="APP_T6" localSheetId="6">'[1]Formato 3'!$G$8</definedName>
    <definedName name="APP_T6">'Formato 3'!$G$8</definedName>
    <definedName name="APP_T7" localSheetId="5">'[1]Formato 3'!$H$8</definedName>
    <definedName name="APP_T7" localSheetId="6">'[1]Formato 3'!$H$8</definedName>
    <definedName name="APP_T7">'Formato 3'!$H$8</definedName>
    <definedName name="APP_T8" localSheetId="5">'[1]Formato 3'!$I$8</definedName>
    <definedName name="APP_T8" localSheetId="6">'[1]Formato 3'!$I$8</definedName>
    <definedName name="APP_T8">'Formato 3'!$I$8</definedName>
    <definedName name="APP_T9" localSheetId="5">'[1]Formato 3'!$J$8</definedName>
    <definedName name="APP_T9" localSheetId="6">'[1]Formato 3'!$J$8</definedName>
    <definedName name="APP_T9">'Formato 3'!$J$8</definedName>
    <definedName name="DEUDA_CONT" localSheetId="6">'Formato 2'!$A$22</definedName>
    <definedName name="DEUDA_CONT">#REF!</definedName>
    <definedName name="DEUDA_CONT_FIN" localSheetId="6">'Formato 2'!$A$26</definedName>
    <definedName name="DEUDA_CONT_FIN">#REF!</definedName>
    <definedName name="DEUDA_CONT_FIN_01" localSheetId="5">'[1]Formato 2'!$B$26</definedName>
    <definedName name="DEUDA_CONT_FIN_01" localSheetId="6">'Formato 2'!$B$26</definedName>
    <definedName name="DEUDA_CONT_FIN_01">#REF!</definedName>
    <definedName name="DEUDA_CONT_FIN_02" localSheetId="5">'[1]Formato 2'!$C$26</definedName>
    <definedName name="DEUDA_CONT_FIN_02" localSheetId="6">'Formato 2'!$C$26</definedName>
    <definedName name="DEUDA_CONT_FIN_02">#REF!</definedName>
    <definedName name="DEUDA_CONT_FIN_03" localSheetId="5">'[1]Formato 2'!$D$26</definedName>
    <definedName name="DEUDA_CONT_FIN_03" localSheetId="6">'Formato 2'!$D$26</definedName>
    <definedName name="DEUDA_CONT_FIN_03">#REF!</definedName>
    <definedName name="DEUDA_CONT_FIN_04" localSheetId="5">'[1]Formato 2'!$E$26</definedName>
    <definedName name="DEUDA_CONT_FIN_04" localSheetId="6">'Formato 2'!$E$26</definedName>
    <definedName name="DEUDA_CONT_FIN_04">#REF!</definedName>
    <definedName name="DEUDA_CONT_FIN_05" localSheetId="5">'[1]Formato 2'!$F$26</definedName>
    <definedName name="DEUDA_CONT_FIN_05" localSheetId="6">'Formato 2'!$F$26</definedName>
    <definedName name="DEUDA_CONT_FIN_05">#REF!</definedName>
    <definedName name="DEUDA_CONT_FIN_06" localSheetId="5">'[1]Formato 2'!$G$26</definedName>
    <definedName name="DEUDA_CONT_FIN_06" localSheetId="6">'Formato 2'!$G$26</definedName>
    <definedName name="DEUDA_CONT_FIN_06">#REF!</definedName>
    <definedName name="DEUDA_CONT_FIN_07" localSheetId="5">'[1]Formato 2'!$H$26</definedName>
    <definedName name="DEUDA_CONT_FIN_07" localSheetId="6">'Formato 2'!$H$26</definedName>
    <definedName name="DEUDA_CONT_FIN_07">#REF!</definedName>
    <definedName name="DEUDA_CONT_T1" localSheetId="5">'[1]Formato 2'!$B$22</definedName>
    <definedName name="DEUDA_CONT_T1" localSheetId="6">'Formato 2'!$B$22</definedName>
    <definedName name="DEUDA_CONT_T1">#REF!</definedName>
    <definedName name="DEUDA_CONT_T2" localSheetId="5">'[1]Formato 2'!$C$22</definedName>
    <definedName name="DEUDA_CONT_T2" localSheetId="6">'Formato 2'!$C$22</definedName>
    <definedName name="DEUDA_CONT_T2">#REF!</definedName>
    <definedName name="DEUDA_CONT_T3" localSheetId="5">'[1]Formato 2'!$D$22</definedName>
    <definedName name="DEUDA_CONT_T3" localSheetId="6">'Formato 2'!$D$22</definedName>
    <definedName name="DEUDA_CONT_T3">#REF!</definedName>
    <definedName name="DEUDA_CONT_T4" localSheetId="5">'[1]Formato 2'!$E$22</definedName>
    <definedName name="DEUDA_CONT_T4" localSheetId="6">'Formato 2'!$E$22</definedName>
    <definedName name="DEUDA_CONT_T4">#REF!</definedName>
    <definedName name="DEUDA_CONT_T5" localSheetId="6">'Formato 2'!$F$22</definedName>
    <definedName name="DEUDA_CONT_T5">#REF!</definedName>
    <definedName name="DEUDA_CONT_T6" localSheetId="5">'[1]Formato 2'!$G$22</definedName>
    <definedName name="DEUDA_CONT_T6" localSheetId="6">'Formato 2'!$G$22</definedName>
    <definedName name="DEUDA_CONT_T6">#REF!</definedName>
    <definedName name="DEUDA_CONT_T7" localSheetId="5">'[1]Formato 2'!$H$22</definedName>
    <definedName name="DEUDA_CONT_T7" localSheetId="6">'Formato 2'!$H$22</definedName>
    <definedName name="DEUDA_CONT_T7">#REF!</definedName>
    <definedName name="DEUDA_CONT_V1" localSheetId="6">'Formato 2'!$B$22</definedName>
    <definedName name="DEUDA_CONT_V1">#REF!</definedName>
    <definedName name="DEUDA_CONT_V2" localSheetId="6">'Formato 2'!$C$22</definedName>
    <definedName name="DEUDA_CONT_V2">#REF!</definedName>
    <definedName name="DEUDA_CONT_V3" localSheetId="6">'Formato 2'!$D$22</definedName>
    <definedName name="DEUDA_CONT_V3">#REF!</definedName>
    <definedName name="DEUDA_CONT_V4" localSheetId="6">'Formato 2'!$E$22</definedName>
    <definedName name="DEUDA_CONT_V4">#REF!</definedName>
    <definedName name="DEUDA_CONT_V5" localSheetId="6">'Formato 2'!$F$22</definedName>
    <definedName name="DEUDA_CONT_V5">#REF!</definedName>
    <definedName name="DEUDA_CONT_V6" localSheetId="6">'Formato 2'!$G$22</definedName>
    <definedName name="DEUDA_CONT_V6">#REF!</definedName>
    <definedName name="DEUDA_CONT_V7" localSheetId="6">'Formato 2'!$H$22</definedName>
    <definedName name="DEUDA_CONT_V7">#REF!</definedName>
    <definedName name="DEUDA_CONTINGENTE" localSheetId="6">'Formato 2'!$A$22</definedName>
    <definedName name="DEUDA_CONTINGENTE">#REF!</definedName>
    <definedName name="ENTE" localSheetId="5">'[1]Datos Generales'!$C$3</definedName>
    <definedName name="ENTE" localSheetId="6">'[1]Datos Generales'!$C$3</definedName>
    <definedName name="ENTE">'Datos Generales'!$C$3</definedName>
    <definedName name="ENTE_PUBLICO" localSheetId="5">'[1]Info General'!$C$6</definedName>
    <definedName name="ENTE_PUBLICO" localSheetId="6">'[1]Info General'!$C$6</definedName>
    <definedName name="ENTE_PUBLICO">'Info General'!$C$6</definedName>
    <definedName name="ENTE_PUBLICO_A" localSheetId="5">'[1]Info General'!$C$7</definedName>
    <definedName name="ENTE_PUBLICO_A" localSheetId="6">'[1]Info General'!$C$7</definedName>
    <definedName name="ENTE_PUBLICO_A">'Info General'!$C$7</definedName>
    <definedName name="ENTE_PUBLICO_F01" localSheetId="5">'Formato 1'!$A$2</definedName>
    <definedName name="ENTE_PUBLICO_F01">#REF!</definedName>
    <definedName name="ENTE_PUBLICO_F02" localSheetId="6">'Formato 2'!$A$2</definedName>
    <definedName name="ENTE_PUBLICO_F02">#REF!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 localSheetId="5">'[1]Info General'!$C$11</definedName>
    <definedName name="ENTIDAD" localSheetId="6">'[1]Info General'!$C$11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 localSheetId="5">'[1]Info General'!$C$8</definedName>
    <definedName name="ENTIDAD_FEDERATIVA" localSheetId="6">'[1]Info General'!$C$8</definedName>
    <definedName name="ENTIDAD_FEDERATIVA">'Info General'!$C$8</definedName>
    <definedName name="GASTO_E">'Formato 6 b)'!$A$42</definedName>
    <definedName name="GASTO_E_FIN">'Formato 6 b)'!$A$50</definedName>
    <definedName name="GASTO_E_FIN_01">'Formato 6 b)'!$B$50</definedName>
    <definedName name="GASTO_E_FIN_02">'Formato 6 b)'!$C$50</definedName>
    <definedName name="GASTO_E_FIN_03">'Formato 6 b)'!$D$50</definedName>
    <definedName name="GASTO_E_FIN_04">'Formato 6 b)'!$E$50</definedName>
    <definedName name="GASTO_E_FIN_05">'Formato 6 b)'!$F$50</definedName>
    <definedName name="GASTO_E_FIN_06">'Formato 6 b)'!$G$50</definedName>
    <definedName name="GASTO_E_T1" localSheetId="5">'[1]Formato 6 b)'!$B$42</definedName>
    <definedName name="GASTO_E_T1" localSheetId="6">'[1]Formato 6 b)'!$B$42</definedName>
    <definedName name="GASTO_E_T1">'Formato 6 b)'!$B$42</definedName>
    <definedName name="GASTO_E_T2" localSheetId="5">'[1]Formato 6 b)'!$C$42</definedName>
    <definedName name="GASTO_E_T2" localSheetId="6">'[1]Formato 6 b)'!$C$42</definedName>
    <definedName name="GASTO_E_T2">'Formato 6 b)'!$C$42</definedName>
    <definedName name="GASTO_E_T3" localSheetId="5">'[1]Formato 6 b)'!$D$42</definedName>
    <definedName name="GASTO_E_T3" localSheetId="6">'[1]Formato 6 b)'!$D$42</definedName>
    <definedName name="GASTO_E_T3">'Formato 6 b)'!$D$42</definedName>
    <definedName name="GASTO_E_T4" localSheetId="5">'[1]Formato 6 b)'!$E$42</definedName>
    <definedName name="GASTO_E_T4" localSheetId="6">'[1]Formato 6 b)'!$E$42</definedName>
    <definedName name="GASTO_E_T4">'Formato 6 b)'!$E$42</definedName>
    <definedName name="GASTO_E_T5" localSheetId="5">'[1]Formato 6 b)'!$F$42</definedName>
    <definedName name="GASTO_E_T5" localSheetId="6">'[1]Formato 6 b)'!$F$42</definedName>
    <definedName name="GASTO_E_T5">'Formato 6 b)'!$F$42</definedName>
    <definedName name="GASTO_E_T6" localSheetId="5">'[1]Formato 6 b)'!$G$42</definedName>
    <definedName name="GASTO_E_T6" localSheetId="6">'[1]Formato 6 b)'!$G$42</definedName>
    <definedName name="GASTO_E_T6">'Formato 6 b)'!$G$42</definedName>
    <definedName name="GASTO_NE">'Formato 6 b)'!$A$9</definedName>
    <definedName name="GASTO_NE_FIN">'Formato 6 b)'!$A$41</definedName>
    <definedName name="GASTO_NE_FIN_01">'Formato 6 b)'!$B$41</definedName>
    <definedName name="GASTO_NE_FIN_02">'Formato 6 b)'!$C$41</definedName>
    <definedName name="GASTO_NE_FIN_03">'Formato 6 b)'!$D$41</definedName>
    <definedName name="GASTO_NE_FIN_04">'Formato 6 b)'!$E$41</definedName>
    <definedName name="GASTO_NE_FIN_05">'Formato 6 b)'!$F$41</definedName>
    <definedName name="GASTO_NE_FIN_06">'Formato 6 b)'!$G$41</definedName>
    <definedName name="GASTO_NE_T1" localSheetId="5">'[1]Formato 6 b)'!$B$9</definedName>
    <definedName name="GASTO_NE_T1" localSheetId="6">'[1]Formato 6 b)'!$B$9</definedName>
    <definedName name="GASTO_NE_T1">'Formato 6 b)'!$B$9</definedName>
    <definedName name="GASTO_NE_T2" localSheetId="5">'[1]Formato 6 b)'!$C$9</definedName>
    <definedName name="GASTO_NE_T2" localSheetId="6">'[1]Formato 6 b)'!$C$9</definedName>
    <definedName name="GASTO_NE_T2">'Formato 6 b)'!$C$9</definedName>
    <definedName name="GASTO_NE_T3" localSheetId="5">'[1]Formato 6 b)'!$D$9</definedName>
    <definedName name="GASTO_NE_T3" localSheetId="6">'[1]Formato 6 b)'!$D$9</definedName>
    <definedName name="GASTO_NE_T3">'Formato 6 b)'!$D$9</definedName>
    <definedName name="GASTO_NE_T4" localSheetId="5">'[1]Formato 6 b)'!$E$9</definedName>
    <definedName name="GASTO_NE_T4" localSheetId="6">'[1]Formato 6 b)'!$E$9</definedName>
    <definedName name="GASTO_NE_T4">'Formato 6 b)'!$E$9</definedName>
    <definedName name="GASTO_NE_T5" localSheetId="5">'[1]Formato 6 b)'!$F$9</definedName>
    <definedName name="GASTO_NE_T5" localSheetId="6">'[1]Formato 6 b)'!$F$9</definedName>
    <definedName name="GASTO_NE_T5">'Formato 6 b)'!$F$9</definedName>
    <definedName name="GASTO_NE_T6" localSheetId="5">'[1]Formato 6 b)'!$G$9</definedName>
    <definedName name="GASTO_NE_T6" localSheetId="6">'[1]Formato 6 b)'!$G$9</definedName>
    <definedName name="GASTO_NE_T6">'Formato 6 b)'!$G$9</definedName>
    <definedName name="MAX_VALUE">'Info General'!$E$30</definedName>
    <definedName name="MIN_VALUE">'Info General'!$D$30</definedName>
    <definedName name="MONTO1" localSheetId="5">'[1]Info General'!$D$18</definedName>
    <definedName name="MONTO1" localSheetId="6">'[1]Info General'!$D$18</definedName>
    <definedName name="MONTO1">'Info General'!$D$18</definedName>
    <definedName name="MONTO2" localSheetId="5">'[1]Info General'!$E$18</definedName>
    <definedName name="MONTO2" localSheetId="6">'[1]Info General'!$E$18</definedName>
    <definedName name="MONTO2">'Info General'!$E$18</definedName>
    <definedName name="MUNICIPIO" localSheetId="5">'[1]Info General'!$C$10</definedName>
    <definedName name="MUNICIPIO" localSheetId="6">'[1]Info General'!$C$10</definedName>
    <definedName name="MUNICIPIO">'Info General'!$C$10</definedName>
    <definedName name="OB_CORTO_PLAZO" localSheetId="6">'Formato 2'!$A$41</definedName>
    <definedName name="OB_CORTO_PLAZO">#REF!</definedName>
    <definedName name="OB_CORTO_PLAZO_FIN" localSheetId="6">'Formato 2'!$A$45</definedName>
    <definedName name="OB_CORTO_PLAZO_FIN">#REF!</definedName>
    <definedName name="OB_CORTO_PLAZO_FIN_01" localSheetId="5">'[1]Formato 2'!$B$45</definedName>
    <definedName name="OB_CORTO_PLAZO_FIN_01" localSheetId="6">'Formato 2'!$B$45</definedName>
    <definedName name="OB_CORTO_PLAZO_FIN_01">#REF!</definedName>
    <definedName name="OB_CORTO_PLAZO_FIN_02" localSheetId="5">'[1]Formato 2'!$C$45</definedName>
    <definedName name="OB_CORTO_PLAZO_FIN_02" localSheetId="6">'Formato 2'!$C$45</definedName>
    <definedName name="OB_CORTO_PLAZO_FIN_02">#REF!</definedName>
    <definedName name="OB_CORTO_PLAZO_FIN_03" localSheetId="5">'[1]Formato 2'!$D$45</definedName>
    <definedName name="OB_CORTO_PLAZO_FIN_03" localSheetId="6">'Formato 2'!$D$45</definedName>
    <definedName name="OB_CORTO_PLAZO_FIN_03">#REF!</definedName>
    <definedName name="OB_CORTO_PLAZO_FIN_04" localSheetId="5">'[1]Formato 2'!$E$45</definedName>
    <definedName name="OB_CORTO_PLAZO_FIN_04" localSheetId="6">'Formato 2'!$E$45</definedName>
    <definedName name="OB_CORTO_PLAZO_FIN_04">#REF!</definedName>
    <definedName name="OB_CORTO_PLAZO_FIN_05" localSheetId="5">'[1]Formato 2'!$F$45</definedName>
    <definedName name="OB_CORTO_PLAZO_FIN_05" localSheetId="6">'Formato 2'!$F$45</definedName>
    <definedName name="OB_CORTO_PLAZO_FIN_05">#REF!</definedName>
    <definedName name="OB_CORTO_PLAZO_T1" localSheetId="5">'[1]Formato 2'!$B$41</definedName>
    <definedName name="OB_CORTO_PLAZO_T1" localSheetId="6">'Formato 2'!$B$41</definedName>
    <definedName name="OB_CORTO_PLAZO_T1">#REF!</definedName>
    <definedName name="OB_CORTO_PLAZO_T2" localSheetId="5">'[1]Formato 2'!$C$41</definedName>
    <definedName name="OB_CORTO_PLAZO_T2" localSheetId="6">'Formato 2'!$C$41</definedName>
    <definedName name="OB_CORTO_PLAZO_T2">#REF!</definedName>
    <definedName name="OB_CORTO_PLAZO_T3" localSheetId="5">'[1]Formato 2'!$D$41</definedName>
    <definedName name="OB_CORTO_PLAZO_T3" localSheetId="6">'Formato 2'!$D$41</definedName>
    <definedName name="OB_CORTO_PLAZO_T3">#REF!</definedName>
    <definedName name="OB_CORTO_PLAZO_T4" localSheetId="5">'[1]Formato 2'!$E$41</definedName>
    <definedName name="OB_CORTO_PLAZO_T4" localSheetId="6">'Formato 2'!$E$41</definedName>
    <definedName name="OB_CORTO_PLAZO_T4">#REF!</definedName>
    <definedName name="OB_CORTO_PLAZO_T5" localSheetId="5">'[1]Formato 2'!$F$41</definedName>
    <definedName name="OB_CORTO_PLAZO_T5" localSheetId="6">'Formato 2'!$F$41</definedName>
    <definedName name="OB_CORTO_PLAZO_T5">#REF!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 localSheetId="5">'[1]Formato 3'!$E$19</definedName>
    <definedName name="OTROS_FIN_04" localSheetId="6">'[1]Formato 3'!$E$19</definedName>
    <definedName name="OTROS_FIN_04">'Formato 3'!$E$19</definedName>
    <definedName name="OTROS_FIN_05">'Formato 3'!$F$19</definedName>
    <definedName name="OTROS_FIN_06" localSheetId="5">'[1]Formato 3'!$G$19</definedName>
    <definedName name="OTROS_FIN_06" localSheetId="6">'[1]Formato 3'!$G$19</definedName>
    <definedName name="OTROS_FIN_06">'Formato 3'!$G$19</definedName>
    <definedName name="OTROS_FIN_07" localSheetId="5">'[1]Formato 3'!$H$19</definedName>
    <definedName name="OTROS_FIN_07" localSheetId="6">'[1]Formato 3'!$H$19</definedName>
    <definedName name="OTROS_FIN_07">'Formato 3'!$H$19</definedName>
    <definedName name="OTROS_FIN_08" localSheetId="5">'[1]Formato 3'!$I$19</definedName>
    <definedName name="OTROS_FIN_08" localSheetId="6">'[1]Formato 3'!$I$19</definedName>
    <definedName name="OTROS_FIN_08">'Formato 3'!$I$19</definedName>
    <definedName name="OTROS_FIN_09" localSheetId="5">'[1]Formato 3'!$J$19</definedName>
    <definedName name="OTROS_FIN_09" localSheetId="6">'[1]Formato 3'!$J$19</definedName>
    <definedName name="OTROS_FIN_09">'Formato 3'!$J$19</definedName>
    <definedName name="OTROS_FIN_10" localSheetId="5">'[1]Formato 3'!$K$19</definedName>
    <definedName name="OTROS_FIN_10" localSheetId="6">'[1]Formato 3'!$K$19</definedName>
    <definedName name="OTROS_FIN_10">'Formato 3'!$K$19</definedName>
    <definedName name="OTROS_T1">'Formato 3'!$B$14</definedName>
    <definedName name="OTROS_T10" localSheetId="5">'[1]Formato 3'!$K$14</definedName>
    <definedName name="OTROS_T10" localSheetId="6">'[1]Formato 3'!$K$14</definedName>
    <definedName name="OTROS_T10">'Formato 3'!$K$14</definedName>
    <definedName name="OTROS_T2">'Formato 3'!$C$14</definedName>
    <definedName name="OTROS_T3">'Formato 3'!$D$14</definedName>
    <definedName name="OTROS_T4" localSheetId="5">'[1]Formato 3'!$E$14</definedName>
    <definedName name="OTROS_T4" localSheetId="6">'[1]Formato 3'!$E$14</definedName>
    <definedName name="OTROS_T4">'Formato 3'!$E$14</definedName>
    <definedName name="OTROS_T5">'Formato 3'!$F$14</definedName>
    <definedName name="OTROS_T6" localSheetId="5">'[1]Formato 3'!$G$14</definedName>
    <definedName name="OTROS_T6" localSheetId="6">'[1]Formato 3'!$G$14</definedName>
    <definedName name="OTROS_T6">'Formato 3'!$G$14</definedName>
    <definedName name="OTROS_T7" localSheetId="5">'[1]Formato 3'!$H$14</definedName>
    <definedName name="OTROS_T7" localSheetId="6">'[1]Formato 3'!$H$14</definedName>
    <definedName name="OTROS_T7">'Formato 3'!$H$14</definedName>
    <definedName name="OTROS_T8" localSheetId="5">'[1]Formato 3'!$I$14</definedName>
    <definedName name="OTROS_T8" localSheetId="6">'[1]Formato 3'!$I$14</definedName>
    <definedName name="OTROS_T8">'Formato 3'!$I$14</definedName>
    <definedName name="OTROS_T9" localSheetId="5">'[1]Formato 3'!$J$14</definedName>
    <definedName name="OTROS_T9" localSheetId="6">'[1]Formato 3'!$J$14</definedName>
    <definedName name="OTROS_T9">'Formato 3'!$J$14</definedName>
    <definedName name="PERIODO" localSheetId="5">'[1]Info General'!$C$15</definedName>
    <definedName name="PERIODO" localSheetId="6">'[1]Info General'!$C$15</definedName>
    <definedName name="PERIODO">'Info General'!$C$15</definedName>
    <definedName name="PERIODO_ANT" localSheetId="6">'Formato 2'!$B$6</definedName>
    <definedName name="PERIODO_ANT">#REF!</definedName>
    <definedName name="PERIODO_INFORME" localSheetId="5">'[1]Info General'!$C$14</definedName>
    <definedName name="PERIODO_INFORME" localSheetId="6">'[1]Info General'!$C$14</definedName>
    <definedName name="PERIODO_INFORME">'Info General'!$C$14</definedName>
    <definedName name="PERIODO_INFORME_F01" localSheetId="5">'Formato 1'!$A$4</definedName>
    <definedName name="PERIODO_INFORME_F01">#REF!</definedName>
    <definedName name="PERIODO_INFORME_F02" localSheetId="6">'Formato 2'!$A$4</definedName>
    <definedName name="PERIODO_INFORME_F02">#REF!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 localSheetId="6">'Formato 2'!$A$4</definedName>
    <definedName name="PERIODO_INFORME_F2">#REF!</definedName>
    <definedName name="SALDO_ANT" localSheetId="6">'Formato 2'!$B$6</definedName>
    <definedName name="SALDO_ANT">#REF!</definedName>
    <definedName name="SALDO_PENDIENTE" localSheetId="5">'[1]Info General'!$F$18</definedName>
    <definedName name="SALDO_PENDIENTE" localSheetId="6">'[1]Info General'!$F$18</definedName>
    <definedName name="SALDO_PENDIENTE">'Info General'!$F$18</definedName>
    <definedName name="TOTAL_E_T1" localSheetId="5">'[1]Formato 6 b)'!$B$51</definedName>
    <definedName name="TOTAL_E_T1" localSheetId="6">'[1]Formato 6 b)'!$B$51</definedName>
    <definedName name="TOTAL_E_T1">'Formato 6 b)'!$B$51</definedName>
    <definedName name="TOTAL_E_T2" localSheetId="5">'[1]Formato 6 b)'!$C$51</definedName>
    <definedName name="TOTAL_E_T2" localSheetId="6">'[1]Formato 6 b)'!$C$51</definedName>
    <definedName name="TOTAL_E_T2">'Formato 6 b)'!$C$51</definedName>
    <definedName name="TOTAL_E_T3" localSheetId="5">'[1]Formato 6 b)'!$D$51</definedName>
    <definedName name="TOTAL_E_T3" localSheetId="6">'[1]Formato 6 b)'!$D$51</definedName>
    <definedName name="TOTAL_E_T3">'Formato 6 b)'!$D$51</definedName>
    <definedName name="TOTAL_E_T4" localSheetId="5">'[1]Formato 6 b)'!$E$51</definedName>
    <definedName name="TOTAL_E_T4" localSheetId="6">'[1]Formato 6 b)'!$E$51</definedName>
    <definedName name="TOTAL_E_T4">'Formato 6 b)'!$E$51</definedName>
    <definedName name="TOTAL_E_T5" localSheetId="5">'[1]Formato 6 b)'!$F$51</definedName>
    <definedName name="TOTAL_E_T5" localSheetId="6">'[1]Formato 6 b)'!$F$51</definedName>
    <definedName name="TOTAL_E_T5">'Formato 6 b)'!$F$51</definedName>
    <definedName name="TOTAL_E_T6" localSheetId="5">'[1]Formato 6 b)'!$G$51</definedName>
    <definedName name="TOTAL_E_T6" localSheetId="6">'[1]Formato 6 b)'!$G$51</definedName>
    <definedName name="TOTAL_E_T6">'Formato 6 b)'!$G$51</definedName>
    <definedName name="TOTAL_ODF">'Formato 3'!$A$20</definedName>
    <definedName name="TOTAL_ODF_T1">'Formato 3'!$B$20</definedName>
    <definedName name="TOTAL_ODF_T10" localSheetId="5">'[1]Formato 3'!$K$20</definedName>
    <definedName name="TOTAL_ODF_T10" localSheetId="6">'[1]Formato 3'!$K$20</definedName>
    <definedName name="TOTAL_ODF_T10">'Formato 3'!$K$20</definedName>
    <definedName name="TOTAL_ODF_T2">'Formato 3'!$C$20</definedName>
    <definedName name="TOTAL_ODF_T3">'Formato 3'!$D$20</definedName>
    <definedName name="TOTAL_ODF_T4" localSheetId="5">'[1]Formato 3'!$E$20</definedName>
    <definedName name="TOTAL_ODF_T4" localSheetId="6">'[1]Formato 3'!$E$20</definedName>
    <definedName name="TOTAL_ODF_T4">'Formato 3'!$E$20</definedName>
    <definedName name="TOTAL_ODF_T5">'Formato 3'!$F$20</definedName>
    <definedName name="TOTAL_ODF_T6" localSheetId="5">'[1]Formato 3'!$G$20</definedName>
    <definedName name="TOTAL_ODF_T6" localSheetId="6">'[1]Formato 3'!$G$20</definedName>
    <definedName name="TOTAL_ODF_T6">'Formato 3'!$G$20</definedName>
    <definedName name="TOTAL_ODF_T7" localSheetId="5">'[1]Formato 3'!$H$20</definedName>
    <definedName name="TOTAL_ODF_T7" localSheetId="6">'[1]Formato 3'!$H$20</definedName>
    <definedName name="TOTAL_ODF_T7">'Formato 3'!$H$20</definedName>
    <definedName name="TOTAL_ODF_T8" localSheetId="5">'[1]Formato 3'!$I$20</definedName>
    <definedName name="TOTAL_ODF_T8" localSheetId="6">'[1]Formato 3'!$I$20</definedName>
    <definedName name="TOTAL_ODF_T8">'Formato 3'!$I$20</definedName>
    <definedName name="TOTAL_ODF_T9" localSheetId="5">'[1]Formato 3'!$J$20</definedName>
    <definedName name="TOTAL_ODF_T9" localSheetId="6">'[1]Formato 3'!$J$20</definedName>
    <definedName name="TOTAL_ODF_T9">'Formato 3'!$J$20</definedName>
    <definedName name="TRIMESTRE" localSheetId="5">'[1]Info General'!$C$16</definedName>
    <definedName name="TRIMESTRE" localSheetId="6">'[1]Info General'!$C$16</definedName>
    <definedName name="TRIMESTRE">'Info General'!$C$16</definedName>
    <definedName name="ULTIMO" localSheetId="5">'[1]Info General'!$E$20</definedName>
    <definedName name="ULTIMO" localSheetId="6">'[1]Info General'!$E$20</definedName>
    <definedName name="ULTIMO">'Info General'!$E$20</definedName>
    <definedName name="ULTIMO_SALDO" localSheetId="5">'[1]Info General'!$F$20</definedName>
    <definedName name="ULTIMO_SALDO" localSheetId="6">'[1]Info General'!$F$20</definedName>
    <definedName name="ULTIMO_SALDO">'Info General'!$F$20</definedName>
    <definedName name="VALOR_INS_BCC" localSheetId="6">'Formato 2'!$A$27</definedName>
    <definedName name="VALOR_INS_BCC">#REF!</definedName>
    <definedName name="VALOR_INS_BCC_FIN" localSheetId="6">'Formato 2'!$A$31</definedName>
    <definedName name="VALOR_INS_BCC_FIN">#REF!</definedName>
    <definedName name="VALOR_INS_BCC_FIN_01" localSheetId="5">'[1]Formato 2'!$B$31</definedName>
    <definedName name="VALOR_INS_BCC_FIN_01" localSheetId="6">'Formato 2'!$B$31</definedName>
    <definedName name="VALOR_INS_BCC_FIN_01">#REF!</definedName>
    <definedName name="VALOR_INS_BCC_FIN_02" localSheetId="5">'[1]Formato 2'!$C$31</definedName>
    <definedName name="VALOR_INS_BCC_FIN_02" localSheetId="6">'Formato 2'!$C$31</definedName>
    <definedName name="VALOR_INS_BCC_FIN_02">#REF!</definedName>
    <definedName name="VALOR_INS_BCC_FIN_03" localSheetId="5">'[1]Formato 2'!$D$31</definedName>
    <definedName name="VALOR_INS_BCC_FIN_03" localSheetId="6">'Formato 2'!$D$31</definedName>
    <definedName name="VALOR_INS_BCC_FIN_03">#REF!</definedName>
    <definedName name="VALOR_INS_BCC_FIN_04" localSheetId="5">'[1]Formato 2'!$E$31</definedName>
    <definedName name="VALOR_INS_BCC_FIN_04" localSheetId="6">'Formato 2'!$E$31</definedName>
    <definedName name="VALOR_INS_BCC_FIN_04">#REF!</definedName>
    <definedName name="VALOR_INS_BCC_FIN_05" localSheetId="5">'[1]Formato 2'!$F$31</definedName>
    <definedName name="VALOR_INS_BCC_FIN_05" localSheetId="6">'Formato 2'!$F$31</definedName>
    <definedName name="VALOR_INS_BCC_FIN_05">#REF!</definedName>
    <definedName name="VALOR_INS_BCC_FIN_06" localSheetId="5">'[1]Formato 2'!$G$31</definedName>
    <definedName name="VALOR_INS_BCC_FIN_06" localSheetId="6">'Formato 2'!$G$31</definedName>
    <definedName name="VALOR_INS_BCC_FIN_06">#REF!</definedName>
    <definedName name="VALOR_INS_BCC_FIN_07" localSheetId="5">'[1]Formato 2'!$H$31</definedName>
    <definedName name="VALOR_INS_BCC_FIN_07" localSheetId="6">'Formato 2'!$H$31</definedName>
    <definedName name="VALOR_INS_BCC_FIN_07">#REF!</definedName>
    <definedName name="VALOR_INS_BCC_T1" localSheetId="5">'[1]Formato 2'!$B$27</definedName>
    <definedName name="VALOR_INS_BCC_T1" localSheetId="6">'Formato 2'!$B$27</definedName>
    <definedName name="VALOR_INS_BCC_T1">#REF!</definedName>
    <definedName name="VALOR_INS_BCC_T2" localSheetId="5">'[1]Formato 2'!$C$27</definedName>
    <definedName name="VALOR_INS_BCC_T2" localSheetId="6">'Formato 2'!$C$27</definedName>
    <definedName name="VALOR_INS_BCC_T2">#REF!</definedName>
    <definedName name="VALOR_INS_BCC_T3" localSheetId="5">'[1]Formato 2'!$D$27</definedName>
    <definedName name="VALOR_INS_BCC_T3" localSheetId="6">'Formato 2'!$D$27</definedName>
    <definedName name="VALOR_INS_BCC_T3">#REF!</definedName>
    <definedName name="VALOR_INS_BCC_T4" localSheetId="5">'[1]Formato 2'!$E$27</definedName>
    <definedName name="VALOR_INS_BCC_T4" localSheetId="6">'Formato 2'!$E$27</definedName>
    <definedName name="VALOR_INS_BCC_T4">#REF!</definedName>
    <definedName name="VALOR_INS_BCC_T5" localSheetId="5">'[1]Formato 2'!$F$27</definedName>
    <definedName name="VALOR_INS_BCC_T5" localSheetId="6">'Formato 2'!$F$27</definedName>
    <definedName name="VALOR_INS_BCC_T5">#REF!</definedName>
    <definedName name="VALOR_INS_BCC_T6" localSheetId="5">'[1]Formato 2'!$G$27</definedName>
    <definedName name="VALOR_INS_BCC_T6" localSheetId="6">'Formato 2'!$G$27</definedName>
    <definedName name="VALOR_INS_BCC_T6">#REF!</definedName>
    <definedName name="VALOR_INS_BCC_T7" localSheetId="5">'[1]Formato 2'!$H$27</definedName>
    <definedName name="VALOR_INS_BCC_T7" localSheetId="6">'Formato 2'!$H$27</definedName>
    <definedName name="VALOR_INS_BCC_T7">#REF!</definedName>
    <definedName name="VALOR_INS_BCC_V1" localSheetId="6">'Formato 2'!$B$27</definedName>
    <definedName name="VALOR_INS_BCC_V1">#REF!</definedName>
    <definedName name="VALOR_INS_BCC_V2" localSheetId="6">'Formato 2'!$C$27</definedName>
    <definedName name="VALOR_INS_BCC_V2">#REF!</definedName>
    <definedName name="VALOR_INSTRUMENTOS_BCC" localSheetId="6">'Formato 2'!$A$27</definedName>
    <definedName name="VALOR_INSTRUMENTOS_BCC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34" l="1"/>
  <c r="E41" i="34"/>
  <c r="D41" i="34"/>
  <c r="C41" i="34"/>
  <c r="B41" i="34"/>
  <c r="H27" i="34"/>
  <c r="G27" i="34"/>
  <c r="F27" i="34"/>
  <c r="E27" i="34"/>
  <c r="D27" i="34"/>
  <c r="C27" i="34"/>
  <c r="B27" i="34"/>
  <c r="H22" i="34"/>
  <c r="G22" i="34"/>
  <c r="F22" i="34"/>
  <c r="E22" i="34"/>
  <c r="D22" i="34"/>
  <c r="C22" i="34"/>
  <c r="B22" i="34"/>
  <c r="F18" i="34"/>
  <c r="H13" i="34"/>
  <c r="G13" i="34"/>
  <c r="F13" i="34"/>
  <c r="E13" i="34"/>
  <c r="E8" i="34" s="1"/>
  <c r="E20" i="34" s="1"/>
  <c r="D13" i="34"/>
  <c r="C13" i="34"/>
  <c r="B13" i="34"/>
  <c r="H9" i="34"/>
  <c r="H8" i="34" s="1"/>
  <c r="H20" i="34" s="1"/>
  <c r="G9" i="34"/>
  <c r="G8" i="34" s="1"/>
  <c r="G20" i="34" s="1"/>
  <c r="F9" i="34"/>
  <c r="E9" i="34"/>
  <c r="D9" i="34"/>
  <c r="D8" i="34" s="1"/>
  <c r="D20" i="34" s="1"/>
  <c r="C9" i="34"/>
  <c r="B9" i="34"/>
  <c r="F8" i="34"/>
  <c r="B8" i="34"/>
  <c r="B20" i="34" s="1"/>
  <c r="B6" i="34"/>
  <c r="A4" i="34"/>
  <c r="A2" i="34"/>
  <c r="F75" i="33"/>
  <c r="E75" i="33"/>
  <c r="F68" i="33"/>
  <c r="E68" i="33"/>
  <c r="F63" i="33"/>
  <c r="E63" i="33"/>
  <c r="E79" i="33" s="1"/>
  <c r="C60" i="33"/>
  <c r="B60" i="33"/>
  <c r="F57" i="33"/>
  <c r="E57" i="33"/>
  <c r="F42" i="33"/>
  <c r="E42" i="33"/>
  <c r="C41" i="33"/>
  <c r="B41" i="33"/>
  <c r="F38" i="33"/>
  <c r="E38" i="33"/>
  <c r="C38" i="33"/>
  <c r="B38" i="33"/>
  <c r="F31" i="33"/>
  <c r="E31" i="33"/>
  <c r="C31" i="33"/>
  <c r="B31" i="33"/>
  <c r="F27" i="33"/>
  <c r="E27" i="33"/>
  <c r="C25" i="33"/>
  <c r="B25" i="33"/>
  <c r="F23" i="33"/>
  <c r="E23" i="33"/>
  <c r="F19" i="33"/>
  <c r="E19" i="33"/>
  <c r="C17" i="33"/>
  <c r="B17" i="33"/>
  <c r="F9" i="33"/>
  <c r="E9" i="33"/>
  <c r="E47" i="33" s="1"/>
  <c r="E59" i="33" s="1"/>
  <c r="E81" i="33" s="1"/>
  <c r="C9" i="33"/>
  <c r="C47" i="33" s="1"/>
  <c r="C62" i="33" s="1"/>
  <c r="B9" i="33"/>
  <c r="F6" i="33"/>
  <c r="E6" i="33"/>
  <c r="C6" i="33"/>
  <c r="B6" i="33"/>
  <c r="A4" i="33"/>
  <c r="A2" i="33"/>
  <c r="F47" i="33" l="1"/>
  <c r="F59" i="33" s="1"/>
  <c r="F79" i="33"/>
  <c r="C8" i="34"/>
  <c r="C20" i="34" s="1"/>
  <c r="B47" i="33"/>
  <c r="B62" i="33" s="1"/>
  <c r="F81" i="33"/>
  <c r="G12" i="13"/>
  <c r="G11" i="13"/>
  <c r="G10" i="13"/>
  <c r="G9" i="13"/>
  <c r="G8" i="13"/>
  <c r="F51" i="6"/>
  <c r="F146" i="6"/>
  <c r="E146" i="6"/>
  <c r="F137" i="6"/>
  <c r="E137" i="6"/>
  <c r="F133" i="6"/>
  <c r="E133" i="6"/>
  <c r="F123" i="6"/>
  <c r="E123" i="6"/>
  <c r="F113" i="6"/>
  <c r="E113" i="6"/>
  <c r="F103" i="6"/>
  <c r="E103" i="6"/>
  <c r="F93" i="6"/>
  <c r="E93" i="6"/>
  <c r="F85" i="6"/>
  <c r="E85" i="6"/>
  <c r="D129" i="6"/>
  <c r="D127" i="6"/>
  <c r="D125" i="6"/>
  <c r="D124" i="6"/>
  <c r="D117" i="6"/>
  <c r="D113" i="6" s="1"/>
  <c r="D112" i="6"/>
  <c r="D111" i="6"/>
  <c r="D110" i="6"/>
  <c r="D109" i="6"/>
  <c r="D108" i="6"/>
  <c r="D107" i="6"/>
  <c r="D103" i="6" s="1"/>
  <c r="D106" i="6"/>
  <c r="D105" i="6"/>
  <c r="D102" i="6"/>
  <c r="D100" i="6"/>
  <c r="D99" i="6"/>
  <c r="D98" i="6"/>
  <c r="D97" i="6"/>
  <c r="D95" i="6"/>
  <c r="D93" i="6" s="1"/>
  <c r="D94" i="6"/>
  <c r="D87" i="6"/>
  <c r="D123" i="6"/>
  <c r="C123" i="6"/>
  <c r="C103" i="6"/>
  <c r="C93" i="6"/>
  <c r="F10" i="9" l="1"/>
  <c r="E10" i="9"/>
  <c r="C10" i="9"/>
  <c r="D22" i="9"/>
  <c r="G22" i="9" s="1"/>
  <c r="E10" i="7" l="1"/>
  <c r="E43" i="7"/>
  <c r="E47" i="7"/>
  <c r="E31" i="7" s="1"/>
  <c r="F29" i="7"/>
  <c r="E29" i="7"/>
  <c r="F25" i="7"/>
  <c r="E25" i="7"/>
  <c r="C25" i="7"/>
  <c r="C29" i="7"/>
  <c r="B42" i="7" l="1"/>
  <c r="D11" i="7"/>
  <c r="G11" i="7" s="1"/>
  <c r="D12" i="7"/>
  <c r="G12" i="7" s="1"/>
  <c r="D13" i="7"/>
  <c r="G13" i="7" s="1"/>
  <c r="D16" i="7"/>
  <c r="G16" i="7" s="1"/>
  <c r="D17" i="7"/>
  <c r="G17" i="7" s="1"/>
  <c r="D18" i="7"/>
  <c r="G18" i="7" s="1"/>
  <c r="D19" i="7"/>
  <c r="G19" i="7" s="1"/>
  <c r="D21" i="7"/>
  <c r="G21" i="7" s="1"/>
  <c r="D22" i="7"/>
  <c r="G22" i="7" s="1"/>
  <c r="D23" i="7"/>
  <c r="G23" i="7" s="1"/>
  <c r="D24" i="7"/>
  <c r="G24" i="7" s="1"/>
  <c r="D25" i="7"/>
  <c r="G25" i="7" s="1"/>
  <c r="D26" i="7"/>
  <c r="G26" i="7" s="1"/>
  <c r="D28" i="7"/>
  <c r="G28" i="7" s="1"/>
  <c r="D29" i="7"/>
  <c r="G29" i="7" s="1"/>
  <c r="D32" i="7"/>
  <c r="G32" i="7" s="1"/>
  <c r="D33" i="7"/>
  <c r="G33" i="7" s="1"/>
  <c r="D34" i="7"/>
  <c r="G34" i="7" s="1"/>
  <c r="D35" i="7"/>
  <c r="G35" i="7" s="1"/>
  <c r="D36" i="7"/>
  <c r="G36" i="7" s="1"/>
  <c r="D37" i="7"/>
  <c r="G37" i="7" s="1"/>
  <c r="D38" i="7"/>
  <c r="G38" i="7" s="1"/>
  <c r="D39" i="7"/>
  <c r="G39" i="7" s="1"/>
  <c r="D40" i="7"/>
  <c r="G40" i="7" s="1"/>
  <c r="C48" i="7"/>
  <c r="C20" i="7" s="1"/>
  <c r="D20" i="7" s="1"/>
  <c r="G20" i="7" s="1"/>
  <c r="F46" i="7"/>
  <c r="E46" i="7"/>
  <c r="C46" i="7"/>
  <c r="F10" i="7"/>
  <c r="C10" i="7"/>
  <c r="D10" i="7" s="1"/>
  <c r="G10" i="7" s="1"/>
  <c r="F48" i="7"/>
  <c r="F20" i="7" s="1"/>
  <c r="E48" i="7"/>
  <c r="E20" i="7" s="1"/>
  <c r="D48" i="7"/>
  <c r="C45" i="7"/>
  <c r="E45" i="7" s="1"/>
  <c r="E42" i="7" s="1"/>
  <c r="F43" i="7"/>
  <c r="F14" i="7" s="1"/>
  <c r="C43" i="7"/>
  <c r="C14" i="7" s="1"/>
  <c r="D14" i="7" s="1"/>
  <c r="F47" i="7"/>
  <c r="F31" i="7" s="1"/>
  <c r="C47" i="7"/>
  <c r="C31" i="7" s="1"/>
  <c r="F54" i="6"/>
  <c r="E54" i="6"/>
  <c r="C54" i="6"/>
  <c r="F50" i="6"/>
  <c r="E50" i="6"/>
  <c r="C50" i="6"/>
  <c r="F49" i="6"/>
  <c r="E49" i="6"/>
  <c r="C49" i="6"/>
  <c r="F42" i="6"/>
  <c r="E42" i="6"/>
  <c r="C42" i="6"/>
  <c r="C38" i="6" s="1"/>
  <c r="F37" i="6"/>
  <c r="E37" i="6"/>
  <c r="C37" i="6"/>
  <c r="F36" i="6"/>
  <c r="E36" i="6"/>
  <c r="C36" i="6"/>
  <c r="F35" i="6"/>
  <c r="E35" i="6"/>
  <c r="C35" i="6"/>
  <c r="F34" i="6"/>
  <c r="E34" i="6"/>
  <c r="C34" i="6"/>
  <c r="F33" i="6"/>
  <c r="E33" i="6"/>
  <c r="C33" i="6"/>
  <c r="F32" i="6"/>
  <c r="E32" i="6"/>
  <c r="C32" i="6"/>
  <c r="F31" i="6"/>
  <c r="E31" i="6"/>
  <c r="C31" i="6"/>
  <c r="F30" i="6"/>
  <c r="E30" i="6"/>
  <c r="C30" i="6"/>
  <c r="F29" i="6"/>
  <c r="E29" i="6"/>
  <c r="C29" i="6"/>
  <c r="C28" i="6" l="1"/>
  <c r="C42" i="7"/>
  <c r="G48" i="7"/>
  <c r="E15" i="7"/>
  <c r="F45" i="7"/>
  <c r="F15" i="7" s="1"/>
  <c r="F9" i="7" s="1"/>
  <c r="E14" i="7"/>
  <c r="G14" i="7" s="1"/>
  <c r="C15" i="7"/>
  <c r="D15" i="7" s="1"/>
  <c r="G15" i="7" s="1"/>
  <c r="C9" i="7" l="1"/>
  <c r="F42" i="7"/>
  <c r="E9" i="7"/>
  <c r="F27" i="6"/>
  <c r="E27" i="6"/>
  <c r="C27" i="6"/>
  <c r="F25" i="6"/>
  <c r="E25" i="6"/>
  <c r="C25" i="6"/>
  <c r="F24" i="6"/>
  <c r="E24" i="6"/>
  <c r="C24" i="6"/>
  <c r="F23" i="6"/>
  <c r="E23" i="6"/>
  <c r="C23" i="6"/>
  <c r="F22" i="6"/>
  <c r="E22" i="6"/>
  <c r="C22" i="6"/>
  <c r="F20" i="6"/>
  <c r="E20" i="6"/>
  <c r="C20" i="6"/>
  <c r="F19" i="6"/>
  <c r="E19" i="6"/>
  <c r="C19" i="6"/>
  <c r="F17" i="6"/>
  <c r="E17" i="6"/>
  <c r="F15" i="6"/>
  <c r="E15" i="6"/>
  <c r="C15" i="6"/>
  <c r="F14" i="6"/>
  <c r="E14" i="6"/>
  <c r="C14" i="6"/>
  <c r="F13" i="6"/>
  <c r="E13" i="6"/>
  <c r="C13" i="6"/>
  <c r="E12" i="6"/>
  <c r="C12" i="6"/>
  <c r="F11" i="6"/>
  <c r="E11" i="6"/>
  <c r="G132" i="6" l="1"/>
  <c r="G131" i="6"/>
  <c r="G130" i="6"/>
  <c r="G129" i="6"/>
  <c r="G128" i="6"/>
  <c r="G127" i="6"/>
  <c r="G126" i="6"/>
  <c r="G125" i="6"/>
  <c r="G124" i="6"/>
  <c r="G122" i="6"/>
  <c r="G121" i="6"/>
  <c r="G120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6" i="6"/>
  <c r="G105" i="6"/>
  <c r="G104" i="6"/>
  <c r="G102" i="6"/>
  <c r="G101" i="6"/>
  <c r="G100" i="6"/>
  <c r="G99" i="6"/>
  <c r="G98" i="6"/>
  <c r="G97" i="6"/>
  <c r="G96" i="6"/>
  <c r="G95" i="6"/>
  <c r="G94" i="6"/>
  <c r="G92" i="6"/>
  <c r="G91" i="6"/>
  <c r="G90" i="6"/>
  <c r="G89" i="6"/>
  <c r="G88" i="6"/>
  <c r="G87" i="6"/>
  <c r="G86" i="6"/>
  <c r="F38" i="6"/>
  <c r="F28" i="6"/>
  <c r="F18" i="6"/>
  <c r="F48" i="6"/>
  <c r="E51" i="6"/>
  <c r="E18" i="6"/>
  <c r="E38" i="6"/>
  <c r="E10" i="6"/>
  <c r="C51" i="6"/>
  <c r="C48" i="6" s="1"/>
  <c r="C21" i="6"/>
  <c r="C18" i="6" s="1"/>
  <c r="C16" i="6"/>
  <c r="C10" i="6" s="1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2" i="6"/>
  <c r="G12" i="6" s="1"/>
  <c r="D13" i="6"/>
  <c r="G13" i="6" s="1"/>
  <c r="D14" i="6"/>
  <c r="G14" i="6" s="1"/>
  <c r="D15" i="6"/>
  <c r="G15" i="6" s="1"/>
  <c r="D16" i="6"/>
  <c r="G16" i="6" s="1"/>
  <c r="D17" i="6"/>
  <c r="G17" i="6" s="1"/>
  <c r="D11" i="6"/>
  <c r="G11" i="6" s="1"/>
  <c r="F12" i="6"/>
  <c r="F10" i="6" s="1"/>
  <c r="G38" i="6" l="1"/>
  <c r="G103" i="6"/>
  <c r="G123" i="6"/>
  <c r="G113" i="6"/>
  <c r="G93" i="6"/>
  <c r="G48" i="6"/>
  <c r="D38" i="6"/>
  <c r="G28" i="6"/>
  <c r="F9" i="6"/>
  <c r="G10" i="6"/>
  <c r="D18" i="6"/>
  <c r="G18" i="6" s="1"/>
  <c r="G9" i="6" l="1"/>
  <c r="B30" i="7"/>
  <c r="D30" i="7" s="1"/>
  <c r="G30" i="7" s="1"/>
  <c r="B27" i="7"/>
  <c r="B31" i="7"/>
  <c r="D31" i="7" s="1"/>
  <c r="G31" i="7" s="1"/>
  <c r="D27" i="7" l="1"/>
  <c r="B9" i="7"/>
  <c r="D44" i="7"/>
  <c r="G44" i="7" s="1"/>
  <c r="D45" i="7"/>
  <c r="G45" i="7" s="1"/>
  <c r="D46" i="7"/>
  <c r="D47" i="7"/>
  <c r="G47" i="7" s="1"/>
  <c r="D43" i="7"/>
  <c r="G43" i="7" l="1"/>
  <c r="D42" i="7"/>
  <c r="G27" i="7"/>
  <c r="G9" i="7" s="1"/>
  <c r="D9" i="7"/>
  <c r="G46" i="7"/>
  <c r="G42" i="7" s="1"/>
  <c r="E28" i="6"/>
  <c r="D28" i="6"/>
  <c r="D10" i="6"/>
  <c r="D48" i="6"/>
  <c r="E48" i="6"/>
  <c r="B48" i="6"/>
  <c r="E9" i="6" l="1"/>
  <c r="D9" i="6"/>
  <c r="C9" i="6" l="1"/>
  <c r="D57" i="8" l="1"/>
  <c r="G57" i="8" s="1"/>
  <c r="G15" i="5"/>
  <c r="D34" i="5"/>
  <c r="D23" i="8" l="1"/>
  <c r="G23" i="8" s="1"/>
  <c r="D10" i="9"/>
  <c r="G10" i="9" s="1"/>
  <c r="C51" i="7" l="1"/>
  <c r="D51" i="7"/>
  <c r="E51" i="7"/>
  <c r="F51" i="7"/>
  <c r="G51" i="7"/>
  <c r="B51" i="7"/>
  <c r="D15" i="5" l="1"/>
  <c r="C6" i="10" l="1"/>
  <c r="G14" i="5"/>
  <c r="G34" i="5" l="1"/>
  <c r="B93" i="6" l="1"/>
  <c r="C137" i="6" l="1"/>
  <c r="D137" i="6"/>
  <c r="S129" i="24"/>
  <c r="T129" i="24"/>
  <c r="B137" i="6"/>
  <c r="B8" i="10"/>
  <c r="P2" i="28" s="1"/>
  <c r="C6" i="23"/>
  <c r="C7" i="23" s="1"/>
  <c r="A2" i="7" s="1"/>
  <c r="H25" i="23"/>
  <c r="F5" i="12" s="1"/>
  <c r="G25" i="23"/>
  <c r="E5" i="12" s="1"/>
  <c r="F25" i="23"/>
  <c r="D5" i="13" s="1"/>
  <c r="E25" i="23"/>
  <c r="C5" i="12" s="1"/>
  <c r="D25" i="23"/>
  <c r="B5" i="12" s="1"/>
  <c r="U3" i="27"/>
  <c r="U65" i="26"/>
  <c r="G71" i="8"/>
  <c r="U63" i="26" s="1"/>
  <c r="U62" i="26"/>
  <c r="U49" i="26"/>
  <c r="U41" i="26"/>
  <c r="U37" i="26"/>
  <c r="G19" i="8"/>
  <c r="U12" i="26" s="1"/>
  <c r="G27" i="8"/>
  <c r="U20" i="26" s="1"/>
  <c r="G37" i="8"/>
  <c r="U30" i="26" s="1"/>
  <c r="U3" i="25"/>
  <c r="P41" i="24"/>
  <c r="P68" i="24"/>
  <c r="U146" i="24"/>
  <c r="G150" i="6"/>
  <c r="U142" i="24" s="1"/>
  <c r="G137" i="6"/>
  <c r="U129" i="24" s="1"/>
  <c r="G133" i="6"/>
  <c r="U125" i="24" s="1"/>
  <c r="U118" i="24"/>
  <c r="U122" i="24"/>
  <c r="U104" i="24"/>
  <c r="U93" i="24"/>
  <c r="U80" i="24"/>
  <c r="U84" i="24"/>
  <c r="U33" i="24"/>
  <c r="U37" i="24"/>
  <c r="U32" i="24"/>
  <c r="U30" i="24"/>
  <c r="B7" i="13"/>
  <c r="U3" i="24"/>
  <c r="G37" i="5"/>
  <c r="U31" i="20" s="1"/>
  <c r="F20" i="23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E7" i="13"/>
  <c r="F7" i="13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D31" i="12" s="1"/>
  <c r="R23" i="30" s="1"/>
  <c r="E7" i="12"/>
  <c r="S2" i="30" s="1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R2" i="29" s="1"/>
  <c r="E8" i="11"/>
  <c r="F8" i="11"/>
  <c r="T2" i="29" s="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E21" i="9"/>
  <c r="U16" i="27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P14" i="27"/>
  <c r="P15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37" i="8"/>
  <c r="Q30" i="26" s="1"/>
  <c r="D10" i="8"/>
  <c r="R3" i="26" s="1"/>
  <c r="D19" i="8"/>
  <c r="R12" i="26" s="1"/>
  <c r="D27" i="8"/>
  <c r="R20" i="26" s="1"/>
  <c r="D37" i="8"/>
  <c r="R30" i="26" s="1"/>
  <c r="E10" i="8"/>
  <c r="S3" i="26" s="1"/>
  <c r="E19" i="8"/>
  <c r="S12" i="26" s="1"/>
  <c r="E27" i="8"/>
  <c r="E37" i="8"/>
  <c r="S30" i="26" s="1"/>
  <c r="F10" i="8"/>
  <c r="T3" i="26" s="1"/>
  <c r="F19" i="8"/>
  <c r="F27" i="8"/>
  <c r="T20" i="26" s="1"/>
  <c r="F37" i="8"/>
  <c r="T30" i="26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C71" i="8"/>
  <c r="Q63" i="26" s="1"/>
  <c r="D44" i="8"/>
  <c r="R36" i="26" s="1"/>
  <c r="D53" i="8"/>
  <c r="R45" i="26" s="1"/>
  <c r="D61" i="8"/>
  <c r="D71" i="8"/>
  <c r="E44" i="8"/>
  <c r="S36" i="26" s="1"/>
  <c r="E53" i="8"/>
  <c r="S45" i="26" s="1"/>
  <c r="E61" i="8"/>
  <c r="S53" i="26" s="1"/>
  <c r="E71" i="8"/>
  <c r="S63" i="26" s="1"/>
  <c r="F44" i="8"/>
  <c r="T36" i="26" s="1"/>
  <c r="F53" i="8"/>
  <c r="T45" i="26" s="1"/>
  <c r="F61" i="8"/>
  <c r="F71" i="8"/>
  <c r="G44" i="8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R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P63" i="26" s="1"/>
  <c r="B10" i="8"/>
  <c r="P3" i="26" s="1"/>
  <c r="B19" i="8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2" i="25"/>
  <c r="T2" i="25"/>
  <c r="T3" i="25"/>
  <c r="S3" i="25"/>
  <c r="R3" i="25"/>
  <c r="Q3" i="25"/>
  <c r="P3" i="25"/>
  <c r="A3" i="25"/>
  <c r="A4" i="25"/>
  <c r="A2" i="25"/>
  <c r="A87" i="24"/>
  <c r="C85" i="6"/>
  <c r="Q77" i="24" s="1"/>
  <c r="C113" i="6"/>
  <c r="Q105" i="24" s="1"/>
  <c r="Q115" i="24"/>
  <c r="C133" i="6"/>
  <c r="Q125" i="24" s="1"/>
  <c r="C146" i="6"/>
  <c r="Q138" i="24" s="1"/>
  <c r="C150" i="6"/>
  <c r="Q142" i="24" s="1"/>
  <c r="D133" i="6"/>
  <c r="R125" i="24" s="1"/>
  <c r="D146" i="6"/>
  <c r="R138" i="24" s="1"/>
  <c r="S95" i="24"/>
  <c r="S105" i="24"/>
  <c r="S115" i="24"/>
  <c r="S125" i="24"/>
  <c r="S138" i="24"/>
  <c r="E150" i="6"/>
  <c r="E84" i="6" s="1"/>
  <c r="T115" i="24"/>
  <c r="T138" i="24"/>
  <c r="F150" i="6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T105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R3" i="24"/>
  <c r="R31" i="24"/>
  <c r="R41" i="24"/>
  <c r="S3" i="24"/>
  <c r="S31" i="24"/>
  <c r="T3" i="24"/>
  <c r="T41" i="24"/>
  <c r="B85" i="6"/>
  <c r="B103" i="6"/>
  <c r="P95" i="24" s="1"/>
  <c r="B113" i="6"/>
  <c r="P105" i="24" s="1"/>
  <c r="P115" i="24"/>
  <c r="B133" i="6"/>
  <c r="P125" i="24" s="1"/>
  <c r="B146" i="6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U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2" i="20"/>
  <c r="U33" i="20"/>
  <c r="U39" i="20"/>
  <c r="U43" i="20"/>
  <c r="U44" i="20"/>
  <c r="U38" i="20"/>
  <c r="U41" i="20"/>
  <c r="U42" i="20"/>
  <c r="U45" i="20"/>
  <c r="U47" i="20"/>
  <c r="U50" i="20"/>
  <c r="G54" i="5"/>
  <c r="U46" i="20" s="1"/>
  <c r="U48" i="20"/>
  <c r="U49" i="20"/>
  <c r="G59" i="5"/>
  <c r="U51" i="20" s="1"/>
  <c r="U52" i="20"/>
  <c r="U53" i="20"/>
  <c r="U54" i="20"/>
  <c r="U55" i="20"/>
  <c r="U58" i="20"/>
  <c r="U60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Q67" i="15"/>
  <c r="D20" i="23"/>
  <c r="F18" i="23"/>
  <c r="K6" i="3" s="1"/>
  <c r="E18" i="23"/>
  <c r="J6" i="3" s="1"/>
  <c r="D18" i="23"/>
  <c r="I6" i="3" s="1"/>
  <c r="E5" i="13"/>
  <c r="I25" i="23"/>
  <c r="D23" i="23"/>
  <c r="I23" i="23"/>
  <c r="H23" i="23"/>
  <c r="G23" i="23"/>
  <c r="F23" i="23"/>
  <c r="E23" i="23"/>
  <c r="G5" i="13"/>
  <c r="G5" i="12"/>
  <c r="C11" i="23"/>
  <c r="A5" i="9"/>
  <c r="A5" i="8"/>
  <c r="A5" i="7"/>
  <c r="A5" i="6"/>
  <c r="A4" i="5"/>
  <c r="A4" i="4"/>
  <c r="A4" i="3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G8" i="3"/>
  <c r="U3" i="17" s="1"/>
  <c r="E8" i="3"/>
  <c r="S3" i="17" s="1"/>
  <c r="T17" i="16"/>
  <c r="S17" i="16"/>
  <c r="R17" i="16"/>
  <c r="Q17" i="16"/>
  <c r="V15" i="16"/>
  <c r="U15" i="16"/>
  <c r="T15" i="16"/>
  <c r="S15" i="16"/>
  <c r="R15" i="16"/>
  <c r="Q15" i="16"/>
  <c r="P17" i="16"/>
  <c r="P15" i="16"/>
  <c r="V14" i="16"/>
  <c r="U14" i="16"/>
  <c r="S14" i="16"/>
  <c r="R14" i="16"/>
  <c r="Q14" i="16"/>
  <c r="P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P32" i="18" s="1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57" i="15"/>
  <c r="Q71" i="15"/>
  <c r="Q76" i="15"/>
  <c r="Q80" i="15"/>
  <c r="Q87" i="15"/>
  <c r="Q91" i="15"/>
  <c r="Q106" i="15"/>
  <c r="Q107" i="15"/>
  <c r="Q108" i="15"/>
  <c r="Q109" i="15"/>
  <c r="Q111" i="15"/>
  <c r="Q112" i="15"/>
  <c r="Q113" i="15"/>
  <c r="Q114" i="15"/>
  <c r="Q115" i="15"/>
  <c r="Q116" i="15"/>
  <c r="Q117" i="15"/>
  <c r="Q118" i="15"/>
  <c r="P57" i="15"/>
  <c r="P67" i="15"/>
  <c r="P71" i="15"/>
  <c r="P76" i="15"/>
  <c r="P80" i="15"/>
  <c r="P87" i="15"/>
  <c r="P91" i="15"/>
  <c r="P103" i="15"/>
  <c r="P106" i="15"/>
  <c r="P110" i="15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Q12" i="15"/>
  <c r="Q20" i="15"/>
  <c r="Q26" i="15"/>
  <c r="Q34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R19" i="18" s="1"/>
  <c r="C17" i="4"/>
  <c r="Q9" i="18" s="1"/>
  <c r="C13" i="4"/>
  <c r="Q6" i="18" s="1"/>
  <c r="D13" i="4"/>
  <c r="R6" i="18" s="1"/>
  <c r="Q8" i="16"/>
  <c r="R8" i="16"/>
  <c r="S8" i="16"/>
  <c r="T8" i="16"/>
  <c r="U8" i="16"/>
  <c r="V8" i="16"/>
  <c r="P8" i="16"/>
  <c r="Q4" i="16"/>
  <c r="S4" i="16"/>
  <c r="T4" i="16"/>
  <c r="U4" i="16"/>
  <c r="V4" i="16"/>
  <c r="P4" i="16"/>
  <c r="P2" i="25"/>
  <c r="D72" i="4" l="1"/>
  <c r="R38" i="18" s="1"/>
  <c r="S142" i="24"/>
  <c r="T142" i="24"/>
  <c r="F84" i="6"/>
  <c r="F159" i="6" s="1"/>
  <c r="P77" i="24"/>
  <c r="D85" i="6"/>
  <c r="B5" i="13"/>
  <c r="H20" i="3"/>
  <c r="V5" i="17" s="1"/>
  <c r="C5" i="13"/>
  <c r="Q4" i="15"/>
  <c r="T77" i="24"/>
  <c r="T76" i="24"/>
  <c r="R105" i="24"/>
  <c r="U105" i="24"/>
  <c r="P4" i="15"/>
  <c r="P42" i="15"/>
  <c r="D44" i="4"/>
  <c r="D11" i="4" s="1"/>
  <c r="D8" i="4" s="1"/>
  <c r="S77" i="24"/>
  <c r="S76" i="24"/>
  <c r="R2" i="30"/>
  <c r="E29" i="13"/>
  <c r="S22" i="31" s="1"/>
  <c r="T31" i="24"/>
  <c r="T13" i="16"/>
  <c r="T14" i="16"/>
  <c r="K8" i="3"/>
  <c r="Y3" i="17" s="1"/>
  <c r="P95" i="15"/>
  <c r="J20" i="3"/>
  <c r="X5" i="17" s="1"/>
  <c r="P4" i="25"/>
  <c r="C44" i="4"/>
  <c r="C11" i="4" s="1"/>
  <c r="C8" i="4" s="1"/>
  <c r="R3" i="16"/>
  <c r="F5" i="13"/>
  <c r="S13" i="16"/>
  <c r="K14" i="3"/>
  <c r="Y4" i="17" s="1"/>
  <c r="D30" i="11"/>
  <c r="R22" i="29" s="1"/>
  <c r="F31" i="12"/>
  <c r="T23" i="30" s="1"/>
  <c r="B72" i="4"/>
  <c r="P38" i="18" s="1"/>
  <c r="D5" i="12"/>
  <c r="D29" i="13"/>
  <c r="R22" i="31" s="1"/>
  <c r="V3" i="17"/>
  <c r="P119" i="15"/>
  <c r="S2" i="24"/>
  <c r="E32" i="10"/>
  <c r="S23" i="28" s="1"/>
  <c r="E30" i="11"/>
  <c r="S22" i="29" s="1"/>
  <c r="B30" i="11"/>
  <c r="P22" i="29" s="1"/>
  <c r="S2" i="31"/>
  <c r="C29" i="13"/>
  <c r="Q22" i="31" s="1"/>
  <c r="G29" i="13"/>
  <c r="U22" i="31" s="1"/>
  <c r="R2" i="31"/>
  <c r="E31" i="12"/>
  <c r="S23" i="30" s="1"/>
  <c r="B31" i="12"/>
  <c r="P23" i="30" s="1"/>
  <c r="P2" i="29"/>
  <c r="F30" i="11"/>
  <c r="T22" i="29" s="1"/>
  <c r="S2" i="29"/>
  <c r="C32" i="10"/>
  <c r="Q23" i="28" s="1"/>
  <c r="B32" i="10"/>
  <c r="P23" i="28" s="1"/>
  <c r="G32" i="10"/>
  <c r="U23" i="28" s="1"/>
  <c r="C43" i="8"/>
  <c r="Q35" i="26" s="1"/>
  <c r="Q53" i="26"/>
  <c r="E43" i="8"/>
  <c r="S35" i="26" s="1"/>
  <c r="B9" i="8"/>
  <c r="P2" i="26" s="1"/>
  <c r="F9" i="8"/>
  <c r="T2" i="26" s="1"/>
  <c r="D9" i="8"/>
  <c r="R2" i="26" s="1"/>
  <c r="T12" i="26"/>
  <c r="D70" i="5"/>
  <c r="B65" i="5"/>
  <c r="P56" i="20" s="1"/>
  <c r="C70" i="5"/>
  <c r="F70" i="5"/>
  <c r="R25" i="18"/>
  <c r="C57" i="4"/>
  <c r="C59" i="4" s="1"/>
  <c r="B57" i="4"/>
  <c r="B59" i="4" s="1"/>
  <c r="D74" i="4"/>
  <c r="R39" i="18" s="1"/>
  <c r="C72" i="4"/>
  <c r="Q38" i="18" s="1"/>
  <c r="I20" i="3"/>
  <c r="W5" i="17" s="1"/>
  <c r="T4" i="25"/>
  <c r="Q4" i="25"/>
  <c r="Q2" i="25"/>
  <c r="B84" i="6"/>
  <c r="P76" i="24" s="1"/>
  <c r="T21" i="24"/>
  <c r="A2" i="14"/>
  <c r="A2" i="4"/>
  <c r="G20" i="3"/>
  <c r="U5" i="17" s="1"/>
  <c r="R4" i="25"/>
  <c r="U4" i="25"/>
  <c r="R13" i="16"/>
  <c r="A2" i="13"/>
  <c r="A2" i="12"/>
  <c r="A2" i="11"/>
  <c r="U61" i="20"/>
  <c r="G75" i="5"/>
  <c r="U62" i="20" s="1"/>
  <c r="G45" i="5"/>
  <c r="U40" i="20"/>
  <c r="S3" i="16"/>
  <c r="T3" i="16"/>
  <c r="R4" i="16"/>
  <c r="B44" i="4"/>
  <c r="P19" i="18"/>
  <c r="P22" i="20"/>
  <c r="B41" i="5"/>
  <c r="S34" i="20"/>
  <c r="E70" i="5"/>
  <c r="B43" i="8"/>
  <c r="P45" i="26"/>
  <c r="E20" i="3"/>
  <c r="S5" i="17" s="1"/>
  <c r="S4" i="17"/>
  <c r="Q110" i="15"/>
  <c r="Q119" i="15"/>
  <c r="D57" i="4"/>
  <c r="D59" i="4" s="1"/>
  <c r="A2" i="10"/>
  <c r="T16" i="27"/>
  <c r="F21" i="9"/>
  <c r="D21" i="9"/>
  <c r="R16" i="27"/>
  <c r="G30" i="11"/>
  <c r="U22" i="29" s="1"/>
  <c r="U2" i="29"/>
  <c r="C31" i="12"/>
  <c r="Q23" i="30" s="1"/>
  <c r="Q2" i="30"/>
  <c r="B9" i="6"/>
  <c r="A2" i="9"/>
  <c r="A2" i="6"/>
  <c r="A2" i="3"/>
  <c r="A2" i="8"/>
  <c r="G67" i="5"/>
  <c r="U57" i="20" s="1"/>
  <c r="R21" i="24"/>
  <c r="T95" i="24"/>
  <c r="S4" i="25"/>
  <c r="S2" i="25"/>
  <c r="T53" i="26"/>
  <c r="F43" i="8"/>
  <c r="E9" i="8"/>
  <c r="S2" i="26" s="1"/>
  <c r="S20" i="26"/>
  <c r="B21" i="9"/>
  <c r="P16" i="27"/>
  <c r="T15" i="28"/>
  <c r="F32" i="10"/>
  <c r="T23" i="28" s="1"/>
  <c r="G31" i="12"/>
  <c r="U23" i="30" s="1"/>
  <c r="U2" i="30"/>
  <c r="B29" i="13"/>
  <c r="P22" i="31" s="1"/>
  <c r="P2" i="31"/>
  <c r="U11" i="24"/>
  <c r="U21" i="24"/>
  <c r="U26" i="24"/>
  <c r="U41" i="24"/>
  <c r="U89" i="24"/>
  <c r="U100" i="24"/>
  <c r="U95" i="24"/>
  <c r="U106" i="24"/>
  <c r="G53" i="8"/>
  <c r="U45" i="26" s="1"/>
  <c r="U46" i="26"/>
  <c r="G61" i="8"/>
  <c r="U53" i="26" s="1"/>
  <c r="U58" i="26"/>
  <c r="P31" i="24"/>
  <c r="T2" i="24"/>
  <c r="D43" i="8"/>
  <c r="R53" i="26"/>
  <c r="Q20" i="26"/>
  <c r="C9" i="8"/>
  <c r="Q2" i="26" s="1"/>
  <c r="E33" i="9"/>
  <c r="S24" i="27" s="1"/>
  <c r="S13" i="27"/>
  <c r="C21" i="9"/>
  <c r="Q16" i="27"/>
  <c r="C30" i="11"/>
  <c r="Q22" i="29" s="1"/>
  <c r="Q2" i="29"/>
  <c r="F29" i="13"/>
  <c r="T22" i="31" s="1"/>
  <c r="T2" i="31"/>
  <c r="G16" i="5"/>
  <c r="U7" i="27"/>
  <c r="G21" i="9"/>
  <c r="A2" i="5"/>
  <c r="U36" i="26"/>
  <c r="R15" i="28"/>
  <c r="D32" i="10"/>
  <c r="R23" i="28" s="1"/>
  <c r="G28" i="5"/>
  <c r="U22" i="20" s="1"/>
  <c r="G10" i="8"/>
  <c r="R2" i="25"/>
  <c r="G85" i="6" l="1"/>
  <c r="R77" i="24"/>
  <c r="Q5" i="18"/>
  <c r="R5" i="18"/>
  <c r="Q25" i="18"/>
  <c r="B74" i="4"/>
  <c r="P39" i="18" s="1"/>
  <c r="K20" i="3"/>
  <c r="Y5" i="17" s="1"/>
  <c r="P120" i="15"/>
  <c r="P54" i="15"/>
  <c r="Q13" i="16"/>
  <c r="Q3" i="16"/>
  <c r="U3" i="16"/>
  <c r="U13" i="16"/>
  <c r="G43" i="8"/>
  <c r="C74" i="4"/>
  <c r="Q39" i="18" s="1"/>
  <c r="E159" i="6"/>
  <c r="S150" i="24" s="1"/>
  <c r="T150" i="24"/>
  <c r="U2" i="24"/>
  <c r="U13" i="27"/>
  <c r="U10" i="20"/>
  <c r="G41" i="5"/>
  <c r="R35" i="26"/>
  <c r="D77" i="8"/>
  <c r="R68" i="26" s="1"/>
  <c r="T35" i="26"/>
  <c r="F77" i="8"/>
  <c r="T68" i="26" s="1"/>
  <c r="T13" i="27"/>
  <c r="F33" i="9"/>
  <c r="T24" i="27" s="1"/>
  <c r="E77" i="8"/>
  <c r="S68" i="26" s="1"/>
  <c r="P13" i="16"/>
  <c r="P3" i="16"/>
  <c r="Q95" i="15"/>
  <c r="B159" i="6"/>
  <c r="P150" i="24" s="1"/>
  <c r="P2" i="24"/>
  <c r="P34" i="20"/>
  <c r="B70" i="5"/>
  <c r="R2" i="18"/>
  <c r="D21" i="4"/>
  <c r="G9" i="8"/>
  <c r="U2" i="26" s="1"/>
  <c r="U3" i="26"/>
  <c r="Q2" i="24"/>
  <c r="G9" i="9"/>
  <c r="U2" i="27" s="1"/>
  <c r="U5" i="27"/>
  <c r="C33" i="9"/>
  <c r="Q24" i="27" s="1"/>
  <c r="Q13" i="27"/>
  <c r="C77" i="8"/>
  <c r="Q68" i="26" s="1"/>
  <c r="V13" i="16"/>
  <c r="V3" i="16"/>
  <c r="B77" i="8"/>
  <c r="P68" i="26" s="1"/>
  <c r="P35" i="26"/>
  <c r="B11" i="4"/>
  <c r="P25" i="18"/>
  <c r="U37" i="20"/>
  <c r="G65" i="5"/>
  <c r="U56" i="20" s="1"/>
  <c r="C21" i="4"/>
  <c r="Q2" i="18"/>
  <c r="U35" i="26"/>
  <c r="U85" i="24"/>
  <c r="P13" i="27"/>
  <c r="B33" i="9"/>
  <c r="P24" i="27" s="1"/>
  <c r="R2" i="24"/>
  <c r="R13" i="27"/>
  <c r="D33" i="9"/>
  <c r="R24" i="27" s="1"/>
  <c r="Q54" i="15"/>
  <c r="Q42" i="15"/>
  <c r="G84" i="6" l="1"/>
  <c r="U76" i="24" s="1"/>
  <c r="U77" i="24"/>
  <c r="P104" i="15"/>
  <c r="G77" i="8"/>
  <c r="U68" i="26" s="1"/>
  <c r="Q104" i="15"/>
  <c r="Q120" i="15"/>
  <c r="D23" i="4"/>
  <c r="R12" i="18"/>
  <c r="G33" i="9"/>
  <c r="U24" i="27" s="1"/>
  <c r="G42" i="5"/>
  <c r="U35" i="20" s="1"/>
  <c r="U34" i="20"/>
  <c r="G70" i="5"/>
  <c r="C23" i="4"/>
  <c r="Q12" i="18"/>
  <c r="P5" i="18"/>
  <c r="B8" i="4"/>
  <c r="G159" i="6"/>
  <c r="U150" i="24" s="1"/>
  <c r="B21" i="4" l="1"/>
  <c r="P2" i="18"/>
  <c r="D25" i="4"/>
  <c r="R13" i="18"/>
  <c r="Q13" i="18"/>
  <c r="C25" i="4"/>
  <c r="R14" i="18" l="1"/>
  <c r="D33" i="4"/>
  <c r="R18" i="18" s="1"/>
  <c r="C33" i="4"/>
  <c r="Q18" i="18" s="1"/>
  <c r="Q14" i="18"/>
  <c r="B23" i="4"/>
  <c r="P12" i="18"/>
  <c r="B25" i="4" l="1"/>
  <c r="P13" i="18"/>
  <c r="B33" i="4" l="1"/>
  <c r="P18" i="18" s="1"/>
  <c r="P14" i="18"/>
  <c r="R147" i="24"/>
  <c r="D150" i="6"/>
  <c r="D84" i="6" s="1"/>
  <c r="R142" i="24" l="1"/>
  <c r="R95" i="24"/>
  <c r="Q95" i="24"/>
  <c r="D159" i="6"/>
  <c r="R150" i="24" s="1"/>
  <c r="R76" i="24"/>
  <c r="Q85" i="24" l="1"/>
  <c r="C84" i="6"/>
  <c r="Q76" i="24" l="1"/>
  <c r="C159" i="6"/>
  <c r="Q150" i="24" s="1"/>
</calcChain>
</file>

<file path=xl/sharedStrings.xml><?xml version="1.0" encoding="utf-8"?>
<sst xmlns="http://schemas.openxmlformats.org/spreadsheetml/2006/main" count="4264" uniqueCount="3331">
  <si>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</si>
  <si>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</si>
  <si>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</si>
  <si>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</si>
  <si>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</si>
  <si>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</si>
  <si>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</si>
  <si>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</si>
  <si>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</si>
  <si>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</si>
  <si>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</si>
  <si>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</si>
  <si>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</si>
  <si>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</si>
  <si>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</si>
  <si>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</si>
  <si>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</si>
  <si>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</si>
  <si>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</si>
  <si>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</si>
  <si>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</si>
  <si>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</si>
  <si>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</si>
  <si>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</si>
  <si>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</si>
  <si>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</si>
  <si>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</si>
  <si>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</si>
  <si>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</si>
  <si>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</si>
  <si>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</si>
  <si>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</si>
  <si>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</si>
  <si>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</si>
  <si>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</si>
  <si>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</si>
  <si>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</si>
  <si>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</si>
  <si>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</si>
  <si>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</si>
  <si>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</si>
  <si>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</si>
  <si>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</si>
  <si>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</si>
  <si>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</si>
  <si>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</si>
  <si>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</si>
  <si>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</si>
  <si>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</si>
  <si>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</si>
  <si>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</si>
  <si>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</si>
  <si>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</si>
  <si>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</si>
  <si>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</si>
  <si>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</si>
  <si>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</si>
  <si>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</si>
  <si>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</si>
  <si>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</si>
  <si>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</si>
  <si>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</si>
  <si>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</si>
  <si>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</si>
  <si>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</si>
  <si>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</si>
  <si>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</si>
  <si>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</si>
  <si>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</si>
  <si>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</si>
  <si>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</si>
  <si>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</si>
  <si>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</si>
  <si>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</si>
  <si>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</si>
  <si>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</si>
  <si>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</si>
  <si>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</si>
  <si>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</si>
  <si>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</si>
  <si>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</si>
  <si>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</si>
  <si>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</si>
  <si>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</si>
  <si>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</si>
  <si>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</si>
  <si>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</si>
  <si>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</si>
  <si>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</si>
  <si>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</si>
  <si>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</si>
  <si>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</si>
  <si>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</si>
  <si>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</si>
  <si>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</si>
  <si>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</si>
  <si>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</si>
  <si>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</si>
  <si>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</si>
  <si>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</si>
  <si>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</si>
  <si>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</si>
  <si>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</si>
  <si>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</si>
  <si>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</si>
  <si>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</si>
  <si>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</si>
  <si>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</si>
  <si>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</si>
  <si>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</si>
  <si>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</si>
  <si>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</si>
  <si>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</si>
  <si>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</si>
  <si>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</si>
  <si>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</si>
  <si>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</si>
  <si>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</si>
  <si>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</si>
  <si>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</si>
  <si>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</si>
  <si>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</si>
  <si>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</si>
  <si>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</si>
  <si>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</si>
  <si>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</si>
  <si>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</si>
  <si>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</si>
  <si>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</si>
  <si>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</si>
  <si>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</si>
  <si>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</si>
  <si>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</si>
  <si>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</si>
  <si>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</si>
  <si>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</si>
  <si>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</si>
  <si>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</si>
  <si>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</si>
  <si>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</si>
  <si>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</si>
  <si>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</si>
  <si>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</si>
  <si>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</si>
  <si>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</si>
  <si>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</si>
  <si>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</si>
  <si>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</si>
  <si>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</si>
  <si>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</si>
  <si>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</si>
  <si>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</si>
  <si>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</si>
  <si>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</si>
  <si>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</si>
  <si>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</si>
  <si>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</si>
  <si>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</si>
  <si>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</si>
  <si>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</si>
  <si>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</si>
  <si>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</si>
  <si>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</si>
  <si>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</si>
  <si>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</si>
  <si>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</si>
  <si>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</si>
  <si>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</si>
  <si>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</si>
  <si>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</si>
  <si>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</si>
  <si>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</si>
  <si>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</si>
  <si>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</si>
  <si>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</si>
  <si>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</si>
  <si>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</si>
  <si>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</si>
  <si>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</si>
  <si>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</si>
  <si>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</si>
  <si>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</si>
  <si>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</si>
  <si>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</si>
  <si>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</si>
  <si>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</si>
  <si>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</si>
  <si>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</si>
  <si>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</si>
  <si>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</si>
  <si>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</si>
  <si>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</si>
  <si>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</si>
  <si>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</si>
  <si>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</si>
  <si>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</si>
  <si>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</si>
  <si>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</si>
  <si>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</si>
  <si>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</si>
  <si>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</si>
  <si>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</si>
  <si>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</si>
  <si>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</si>
  <si>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</si>
  <si>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</si>
  <si>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</si>
  <si>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</si>
  <si>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</si>
  <si>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</si>
  <si>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</si>
  <si>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</si>
  <si>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</si>
  <si>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</si>
  <si>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</si>
  <si>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</si>
  <si>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</si>
  <si>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</si>
  <si>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</si>
  <si>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</si>
  <si>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</si>
  <si>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</si>
  <si>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</si>
  <si>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</si>
  <si>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</si>
  <si>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</si>
  <si>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</si>
  <si>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</si>
  <si>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</si>
  <si>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</si>
  <si>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</si>
  <si>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</si>
  <si>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</si>
  <si>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</si>
  <si>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</si>
  <si>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</si>
  <si>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</si>
  <si>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</si>
  <si>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</si>
  <si>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</si>
  <si>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</si>
  <si>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</si>
  <si>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</si>
  <si>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</si>
  <si>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</si>
  <si>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</si>
  <si>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</si>
  <si>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</si>
  <si>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</si>
  <si>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</si>
  <si>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</si>
  <si>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</si>
  <si>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</si>
  <si>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</si>
  <si>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</si>
  <si>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</si>
  <si>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</si>
  <si>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</si>
  <si>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</si>
  <si>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</si>
  <si>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</si>
  <si>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</si>
  <si>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</si>
  <si>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</si>
  <si>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</si>
  <si>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</si>
  <si>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</si>
  <si>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</si>
  <si>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</si>
  <si>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</si>
  <si>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</si>
  <si>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</si>
  <si>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</si>
  <si>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</si>
  <si>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</si>
  <si>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</si>
  <si>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</si>
  <si>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</si>
  <si>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</si>
  <si>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</si>
  <si>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</si>
  <si>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</si>
  <si>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</si>
  <si>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</si>
  <si>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</si>
  <si>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</si>
  <si>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</si>
  <si>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</si>
  <si>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</si>
  <si>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</si>
  <si>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</si>
  <si>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</si>
  <si>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</si>
  <si>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</si>
  <si>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</si>
  <si>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</si>
  <si>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</si>
  <si>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</si>
  <si>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</si>
  <si>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</si>
  <si>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</si>
  <si>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</si>
  <si>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</si>
  <si>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</si>
  <si>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</si>
  <si>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</si>
  <si>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</si>
  <si>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</si>
  <si>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</si>
  <si>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</si>
  <si>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</si>
  <si>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</si>
  <si>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</si>
  <si>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</si>
  <si>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</si>
  <si>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</si>
  <si>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</si>
  <si>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</si>
  <si>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</si>
  <si>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</si>
  <si>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</si>
  <si>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</si>
  <si>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</si>
  <si>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</si>
  <si>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</si>
  <si>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</si>
  <si>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</si>
  <si>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</si>
  <si>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</si>
  <si>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</si>
  <si>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</si>
  <si>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</si>
  <si>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</si>
  <si>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</si>
  <si>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</si>
  <si>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</si>
  <si>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</si>
  <si>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</si>
  <si>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</si>
  <si>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</si>
  <si>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</si>
  <si>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</si>
  <si>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</si>
  <si>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</si>
  <si>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</si>
  <si>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</si>
  <si>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</si>
  <si>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</si>
  <si>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</si>
  <si>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</si>
  <si>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</si>
  <si>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</si>
  <si>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</si>
  <si>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</si>
  <si>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</si>
  <si>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</si>
  <si>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</si>
  <si>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</si>
  <si>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</si>
  <si>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</si>
  <si>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</si>
  <si>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</si>
  <si>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</si>
  <si>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</si>
  <si>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</si>
  <si>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</si>
  <si>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</si>
  <si>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</si>
  <si>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</si>
  <si>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</si>
  <si>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</si>
  <si>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</si>
  <si>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</si>
  <si>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</si>
  <si>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</si>
  <si>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</si>
  <si>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</si>
  <si>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</si>
  <si>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</si>
  <si>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</si>
  <si>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</si>
  <si>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</si>
  <si>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</si>
  <si>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</si>
  <si>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</si>
  <si>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</si>
  <si>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</si>
  <si>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</si>
  <si>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</si>
  <si>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</si>
  <si>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</si>
  <si>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</si>
  <si>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</si>
  <si>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</si>
  <si>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</si>
  <si>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</si>
  <si>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</si>
  <si>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</si>
  <si>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</si>
  <si>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</si>
  <si>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</si>
  <si>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</si>
  <si>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</si>
  <si>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</si>
  <si>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</si>
  <si>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</si>
  <si>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</si>
  <si>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</si>
  <si>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</si>
  <si>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</si>
  <si>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</si>
  <si>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</si>
  <si>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</si>
  <si>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</si>
  <si>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</si>
  <si>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</si>
  <si>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</si>
  <si>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</si>
  <si>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</si>
  <si>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</si>
  <si>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</si>
  <si>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</si>
  <si>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</si>
  <si>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</si>
  <si>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</si>
  <si>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</si>
  <si>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</si>
  <si>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</si>
  <si>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</si>
  <si>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</si>
  <si>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</si>
  <si>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</si>
  <si>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</si>
  <si>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</si>
  <si>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</si>
  <si>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</si>
  <si>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</si>
  <si>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</si>
  <si>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</si>
  <si>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</si>
  <si>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</si>
  <si>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</si>
  <si>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</si>
  <si>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</si>
  <si>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</si>
  <si>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</si>
  <si>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</si>
  <si>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</si>
  <si>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</si>
  <si>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</si>
  <si>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</si>
  <si>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</si>
  <si>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</si>
  <si>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</si>
  <si>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</si>
  <si>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</si>
  <si>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</si>
  <si>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</si>
  <si>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</si>
  <si>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</si>
  <si>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</si>
  <si>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</si>
  <si>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</si>
  <si>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</si>
  <si>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</si>
  <si>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</si>
  <si>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</si>
  <si>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</si>
  <si>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</si>
  <si>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</si>
  <si>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</si>
  <si>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</si>
  <si>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</si>
  <si>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</si>
  <si>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</si>
  <si>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</si>
  <si>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</si>
  <si>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</si>
  <si>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</si>
  <si>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</si>
  <si>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</si>
  <si>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</si>
  <si>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</si>
  <si>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</si>
  <si>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</si>
  <si>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</si>
  <si>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</si>
  <si>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</si>
  <si>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</si>
  <si>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</si>
  <si>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</si>
  <si>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</si>
  <si>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</si>
  <si>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</si>
  <si>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</si>
  <si>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</si>
  <si>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</si>
  <si>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</si>
  <si>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</si>
  <si>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</si>
  <si>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</si>
  <si>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</si>
  <si>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</si>
  <si>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</si>
  <si>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</si>
  <si>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</si>
  <si>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</si>
  <si>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</si>
  <si>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</si>
  <si>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</si>
  <si>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</si>
  <si>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</si>
  <si>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</si>
  <si>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</si>
  <si>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</si>
  <si>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</si>
  <si>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</si>
  <si>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</si>
  <si>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</si>
  <si>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</si>
  <si>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</si>
  <si>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</si>
  <si>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</si>
  <si>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</si>
  <si>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</si>
  <si>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</si>
  <si>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</si>
  <si>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</si>
  <si>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</si>
  <si>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</si>
  <si>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</si>
  <si>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</si>
  <si>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</si>
  <si>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</si>
  <si>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</si>
  <si>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</si>
  <si>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</si>
  <si>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</si>
  <si>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</si>
  <si>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</si>
  <si>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</si>
  <si>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</si>
  <si>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</si>
  <si>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</si>
  <si>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</si>
  <si>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</si>
  <si>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</si>
  <si>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</si>
  <si>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</si>
  <si>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</si>
  <si>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</si>
  <si>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</si>
  <si>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</si>
  <si>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</si>
  <si>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</si>
  <si>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</si>
  <si>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</si>
  <si>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</si>
  <si>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</si>
  <si>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</si>
  <si>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</si>
  <si>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</si>
  <si>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</si>
  <si>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</si>
  <si>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</si>
  <si>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</si>
  <si>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</si>
  <si>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</si>
  <si>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</si>
  <si>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</si>
  <si>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</si>
  <si>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</si>
  <si>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</si>
  <si>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</si>
  <si>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</si>
  <si>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</si>
  <si>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</si>
  <si>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</si>
  <si>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</si>
  <si>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</si>
  <si>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</si>
  <si>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</si>
  <si>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</si>
  <si>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</si>
  <si>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</si>
  <si>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</si>
  <si>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</si>
  <si>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</si>
  <si>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</si>
  <si>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</si>
  <si>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</si>
  <si>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</si>
  <si>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</si>
  <si>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</si>
  <si>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</si>
  <si>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</si>
  <si>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</si>
  <si>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</si>
  <si>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</si>
  <si>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</si>
  <si>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</si>
  <si>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</si>
  <si>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</si>
  <si>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</si>
  <si>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</si>
  <si>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</si>
  <si>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</si>
  <si>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</si>
  <si>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</si>
  <si>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</si>
  <si>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</si>
  <si>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</si>
  <si>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</si>
  <si>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</si>
  <si>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</si>
  <si>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</si>
  <si>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</si>
  <si>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</si>
  <si>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</si>
  <si>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</si>
  <si>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</si>
  <si>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</si>
  <si>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</si>
  <si>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</si>
  <si>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</si>
  <si>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</si>
  <si>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</si>
  <si>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</si>
  <si>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</si>
  <si>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</si>
  <si>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</si>
  <si>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</si>
  <si>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</si>
  <si>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</si>
  <si>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</si>
  <si>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</si>
  <si>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</si>
  <si>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</si>
  <si>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</si>
  <si>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</si>
  <si>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</si>
  <si>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</si>
  <si>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</si>
  <si>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</si>
  <si>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</si>
  <si>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</si>
  <si>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</si>
  <si>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</si>
  <si>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</si>
  <si>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</si>
  <si>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</si>
  <si>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</si>
  <si>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</si>
  <si>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</si>
  <si>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</si>
  <si>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</si>
  <si>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</si>
  <si>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</si>
  <si>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</si>
  <si>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</si>
  <si>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</si>
  <si>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</si>
  <si>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</si>
  <si>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</si>
  <si>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</si>
  <si>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</si>
  <si>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</si>
  <si>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</si>
  <si>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</si>
  <si>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</si>
  <si>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</si>
  <si>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</si>
  <si>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</si>
  <si>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</si>
  <si>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</si>
  <si>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</si>
  <si>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</si>
  <si>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</si>
  <si>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</si>
  <si>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</si>
  <si>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</si>
  <si>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</si>
  <si>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</si>
  <si>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</si>
  <si>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</si>
  <si>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</si>
  <si>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</si>
  <si>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</si>
  <si>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</si>
  <si>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</si>
  <si>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</si>
  <si>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</si>
  <si>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</si>
  <si>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</si>
  <si>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</si>
  <si>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</si>
  <si>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</si>
  <si>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</si>
  <si>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</si>
  <si>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</si>
  <si>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</si>
  <si>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</si>
  <si>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</si>
  <si>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</si>
  <si>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</si>
  <si>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</si>
  <si>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</si>
  <si>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</si>
  <si>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</si>
  <si>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</si>
  <si>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</si>
  <si>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</si>
  <si>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</si>
  <si>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</si>
  <si>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</si>
  <si>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</si>
  <si>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</si>
  <si>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</si>
  <si>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</si>
  <si>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</si>
  <si>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</si>
  <si>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</si>
  <si>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</si>
  <si>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</si>
  <si>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</si>
  <si>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</si>
  <si>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</si>
  <si>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</si>
  <si>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</si>
  <si>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</si>
  <si>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</si>
  <si>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</si>
  <si>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</si>
  <si>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</si>
  <si>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</si>
  <si>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</si>
  <si>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</si>
  <si>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</si>
  <si>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</si>
  <si>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</si>
  <si>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</si>
  <si>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</si>
  <si>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</si>
  <si>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</si>
  <si>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</si>
  <si>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</si>
  <si>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</si>
  <si>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</si>
  <si>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</si>
  <si>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</si>
  <si>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</si>
  <si>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</si>
  <si>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</si>
  <si>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</si>
  <si>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</si>
  <si>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</si>
  <si>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</si>
  <si>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</si>
  <si>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</si>
  <si>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</si>
  <si>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</si>
  <si>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</si>
  <si>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</si>
  <si>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</si>
  <si>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</si>
  <si>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</si>
  <si>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</si>
  <si>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</si>
  <si>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</si>
  <si>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</si>
  <si>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</si>
  <si>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</si>
  <si>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</si>
  <si>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</si>
  <si>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</si>
  <si>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</si>
  <si>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</si>
  <si>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</si>
  <si>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</si>
  <si>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</si>
  <si>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</si>
  <si>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</si>
  <si>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</si>
  <si>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</si>
  <si>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</si>
  <si>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</si>
  <si>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</si>
  <si>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</si>
  <si>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</si>
  <si>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</si>
  <si>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</si>
  <si>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</si>
  <si>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</si>
  <si>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</si>
  <si>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</si>
  <si>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</si>
  <si>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</si>
  <si>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</si>
  <si>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</si>
  <si>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</si>
  <si>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</si>
  <si>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</si>
  <si>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</si>
  <si>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</si>
  <si>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</si>
  <si>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</si>
  <si>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</si>
  <si>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</si>
  <si>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</si>
  <si>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</si>
  <si>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</si>
  <si>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</si>
  <si>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</si>
  <si>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</si>
  <si>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</si>
  <si>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</si>
  <si>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</si>
  <si>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</si>
  <si>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</si>
  <si>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</si>
  <si>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</si>
  <si>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</si>
  <si>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</si>
  <si>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</si>
  <si>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</si>
  <si>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</si>
  <si>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</si>
  <si>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</si>
  <si>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</si>
  <si>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</si>
  <si>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</si>
  <si>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</si>
  <si>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</si>
  <si>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</si>
  <si>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</si>
  <si>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</si>
  <si>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</si>
  <si>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</si>
  <si>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</si>
  <si>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</si>
  <si>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</si>
  <si>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</si>
  <si>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</si>
  <si>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</si>
  <si>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</si>
  <si>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</si>
  <si>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</si>
  <si>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</si>
  <si>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</si>
  <si>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</si>
  <si>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</si>
  <si>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</si>
  <si>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</si>
  <si>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</si>
  <si>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</si>
  <si>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</si>
  <si>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</si>
  <si>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</si>
  <si>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</si>
  <si>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</si>
  <si>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</si>
  <si>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</si>
  <si>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</si>
  <si>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</si>
  <si>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</si>
  <si>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</si>
  <si>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</si>
  <si>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</si>
  <si>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</si>
  <si>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</si>
  <si>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</si>
  <si>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</si>
  <si>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</si>
  <si>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</si>
  <si>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</si>
  <si>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</si>
  <si>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</si>
  <si>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</si>
  <si>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</si>
  <si>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</si>
  <si>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</si>
  <si>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</si>
  <si>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</si>
  <si>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</si>
  <si>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</si>
  <si>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</si>
  <si>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</si>
  <si>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</si>
  <si>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</si>
  <si>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</si>
  <si>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</si>
  <si>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</si>
  <si>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</si>
  <si>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</si>
  <si>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</si>
  <si>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</si>
  <si>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</si>
  <si>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</si>
  <si>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</si>
  <si>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</si>
  <si>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</si>
  <si>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</si>
  <si>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</si>
  <si>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</si>
  <si>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</si>
  <si>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</si>
  <si>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</si>
  <si>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</si>
  <si>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</si>
  <si>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</si>
  <si>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</si>
  <si>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</si>
  <si>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</si>
  <si>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</si>
  <si>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</si>
  <si>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</si>
  <si>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</si>
  <si>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</si>
  <si>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</si>
  <si>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</si>
  <si>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</si>
  <si>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</si>
  <si>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</si>
  <si>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</si>
  <si>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</si>
  <si>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</si>
  <si>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</si>
  <si>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</si>
  <si>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</si>
  <si>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</si>
  <si>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</si>
  <si>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</si>
  <si>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</si>
  <si>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</si>
  <si>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</si>
  <si>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</si>
  <si>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</si>
  <si>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</si>
  <si>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</si>
  <si>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</si>
  <si>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</si>
  <si>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</si>
  <si>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</si>
  <si>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</si>
  <si>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</si>
  <si>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</si>
  <si>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</si>
  <si>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</si>
  <si>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</si>
  <si>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</si>
  <si>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</si>
  <si>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</si>
  <si>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</si>
  <si>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</si>
  <si>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</si>
  <si>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</si>
  <si>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</si>
  <si>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</si>
  <si>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</si>
  <si>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</si>
  <si>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</si>
  <si>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</si>
  <si>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</si>
  <si>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</si>
  <si>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</si>
  <si>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</si>
  <si>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</si>
  <si>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</si>
  <si>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</si>
  <si>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</si>
  <si>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</si>
  <si>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</si>
  <si>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</si>
  <si>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</si>
  <si>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</si>
  <si>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</si>
  <si>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</si>
  <si>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</si>
  <si>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</si>
  <si>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</si>
  <si>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</si>
  <si>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</si>
  <si>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</si>
  <si>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</si>
  <si>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</si>
  <si>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</si>
  <si>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</si>
  <si>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</si>
  <si>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</si>
  <si>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</si>
  <si>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</si>
  <si>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</si>
  <si>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</si>
  <si>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</si>
  <si>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</si>
  <si>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</si>
  <si>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</si>
  <si>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</si>
  <si>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</si>
  <si>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</si>
  <si>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</si>
  <si>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</si>
  <si>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</si>
  <si>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</si>
  <si>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</si>
  <si>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</si>
  <si>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</si>
  <si>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</si>
  <si>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</si>
  <si>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</si>
  <si>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</si>
  <si>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</si>
  <si>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</si>
  <si>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</si>
  <si>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</si>
  <si>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</si>
  <si>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</si>
  <si>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</si>
  <si>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</si>
  <si>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</si>
  <si>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</si>
  <si>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</si>
  <si>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</si>
  <si>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</si>
  <si>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</si>
  <si>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</si>
  <si>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</si>
  <si>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</si>
  <si>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</si>
  <si>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</si>
  <si>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</si>
  <si>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</si>
  <si>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</si>
  <si>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</si>
  <si>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</si>
  <si>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</si>
  <si>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</si>
  <si>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</si>
  <si>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</si>
  <si>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</si>
  <si>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</si>
  <si>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</si>
  <si>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</si>
  <si>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</si>
  <si>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</si>
  <si>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</si>
  <si>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</si>
  <si>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</si>
  <si>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</si>
  <si>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</si>
  <si>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</si>
  <si>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</si>
  <si>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</si>
  <si>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</si>
  <si>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</si>
  <si>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</si>
  <si>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</si>
  <si>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</si>
  <si>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</si>
  <si>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</si>
  <si>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</si>
  <si>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</si>
  <si>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</si>
  <si>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</si>
  <si>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</si>
  <si>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</si>
  <si>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</si>
  <si>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</si>
  <si>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</si>
  <si>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</si>
  <si>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</si>
  <si>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</si>
  <si>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</si>
  <si>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</si>
  <si>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</si>
  <si>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</si>
  <si>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</si>
  <si>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</si>
  <si>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</si>
  <si>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</si>
  <si>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</si>
  <si>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</si>
  <si>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</si>
  <si>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</si>
  <si>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</si>
  <si>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</si>
  <si>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</si>
  <si>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</si>
  <si>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</si>
  <si>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</si>
  <si>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</si>
  <si>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</si>
  <si>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</si>
  <si>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</si>
  <si>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</si>
  <si>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</si>
  <si>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</si>
  <si>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</si>
  <si>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</si>
  <si>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</si>
  <si>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</si>
  <si>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</si>
  <si>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</si>
  <si>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</si>
  <si>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</si>
  <si>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</si>
  <si>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</si>
  <si>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</si>
  <si>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</si>
  <si>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</si>
  <si>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</si>
  <si>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</si>
  <si>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</si>
  <si>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</si>
  <si>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</si>
  <si>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</si>
  <si>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</si>
  <si>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</si>
  <si>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</si>
  <si>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</si>
  <si>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</si>
  <si>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</si>
  <si>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</si>
  <si>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</si>
  <si>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</si>
  <si>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</si>
  <si>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</si>
  <si>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</si>
  <si>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</si>
  <si>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</si>
  <si>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</si>
  <si>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</si>
  <si>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</si>
  <si>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</si>
  <si>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</si>
  <si>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</si>
  <si>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</si>
  <si>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</si>
  <si>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</si>
  <si>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</si>
  <si>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</si>
  <si>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</si>
  <si>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</si>
  <si>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</si>
  <si>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</si>
  <si>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</si>
  <si>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</si>
  <si>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</si>
  <si>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</si>
  <si>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</si>
  <si>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</si>
  <si>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</si>
  <si>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</si>
  <si>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</si>
  <si>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</si>
  <si>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</si>
  <si>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</si>
  <si>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</si>
  <si>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</si>
  <si>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</si>
  <si>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</si>
  <si>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</si>
  <si>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</si>
  <si>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</si>
  <si>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</si>
  <si>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</si>
  <si>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</si>
  <si>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</si>
  <si>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</si>
  <si>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</si>
  <si>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</si>
  <si>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</si>
  <si>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</si>
  <si>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</si>
  <si>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</si>
  <si>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</si>
  <si>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</si>
  <si>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</si>
  <si>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</si>
  <si>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</si>
  <si>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</si>
  <si>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</si>
  <si>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</si>
  <si>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</si>
  <si>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</si>
  <si>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</si>
  <si>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</si>
  <si>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</si>
  <si>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</si>
  <si>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</si>
  <si>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</si>
  <si>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</si>
  <si>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</si>
  <si>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</si>
  <si>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</si>
  <si>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</si>
  <si>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</si>
  <si>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</si>
  <si>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</si>
  <si>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</si>
  <si>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</si>
  <si>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</si>
  <si>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</si>
  <si>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</si>
  <si>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</si>
  <si>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</si>
  <si>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</si>
  <si>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</si>
  <si>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</si>
  <si>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</si>
  <si>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</si>
  <si>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</si>
  <si>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</si>
  <si>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</si>
  <si>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</si>
  <si>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</si>
  <si>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</si>
  <si>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</si>
  <si>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</si>
  <si>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</si>
  <si>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</si>
  <si>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</si>
  <si>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</si>
  <si>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</si>
  <si>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</si>
  <si>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</si>
  <si>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</si>
  <si>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</si>
  <si>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</si>
  <si>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</si>
  <si>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</si>
  <si>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</si>
  <si>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</si>
  <si>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</si>
  <si>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</si>
  <si>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</si>
  <si>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</si>
  <si>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</si>
  <si>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</si>
  <si>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</si>
  <si>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</si>
  <si>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</si>
  <si>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</si>
  <si>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</si>
  <si>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</si>
  <si>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</si>
  <si>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</si>
  <si>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</si>
  <si>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</si>
  <si>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</si>
  <si>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</si>
  <si>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</si>
  <si>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</si>
  <si>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</si>
  <si>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</si>
  <si>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</si>
  <si>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</si>
  <si>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</si>
  <si>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</si>
  <si>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</si>
  <si>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</si>
  <si>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</si>
  <si>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</si>
  <si>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</si>
  <si>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</si>
  <si>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</si>
  <si>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</si>
  <si>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</si>
  <si>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</si>
  <si>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</si>
  <si>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</si>
  <si>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</si>
  <si>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</si>
  <si>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</si>
  <si>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</si>
  <si>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</si>
  <si>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</si>
  <si>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</si>
  <si>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</si>
  <si>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</si>
  <si>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</si>
  <si>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</si>
  <si>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</si>
  <si>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</si>
  <si>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</si>
  <si>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</si>
  <si>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</si>
  <si>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</si>
  <si>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</si>
  <si>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</si>
  <si>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</si>
  <si>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</si>
  <si>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</si>
  <si>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</si>
  <si>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</si>
  <si>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</si>
  <si>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</si>
  <si>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</si>
  <si>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</si>
  <si>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</si>
  <si>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</si>
  <si>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</si>
  <si>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</si>
  <si>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</si>
  <si>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</si>
  <si>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</si>
  <si>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</si>
  <si>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</si>
  <si>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</si>
  <si>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</si>
  <si>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</si>
  <si>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</si>
  <si>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</si>
  <si>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</si>
  <si>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</si>
  <si>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</si>
  <si>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</si>
  <si>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</si>
  <si>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</si>
  <si>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</si>
  <si>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</si>
  <si>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</si>
  <si>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</si>
  <si>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</si>
  <si>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</si>
  <si>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</si>
  <si>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</si>
  <si>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</si>
  <si>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</si>
  <si>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</si>
  <si>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</si>
  <si>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</si>
  <si>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</si>
  <si>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</si>
  <si>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</si>
  <si>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</si>
  <si>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</si>
  <si>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</si>
  <si>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</si>
  <si>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</si>
  <si>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</si>
  <si>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</si>
  <si>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</si>
  <si>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</si>
  <si>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</si>
  <si>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</si>
  <si>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</si>
  <si>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</si>
  <si>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</si>
  <si>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</si>
  <si>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</si>
  <si>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</si>
  <si>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</si>
  <si>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</si>
  <si>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</si>
  <si>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</si>
  <si>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</si>
  <si>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</si>
  <si>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</si>
  <si>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</si>
  <si>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</si>
  <si>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</si>
  <si>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</si>
  <si>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</si>
  <si>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</si>
  <si>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</si>
  <si>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</si>
  <si>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</si>
  <si>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</si>
  <si>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</si>
  <si>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</si>
  <si>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</si>
  <si>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</si>
  <si>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</si>
  <si>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</si>
  <si>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</si>
  <si>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</si>
  <si>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</si>
  <si>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</si>
  <si>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</si>
  <si>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</si>
  <si>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</si>
  <si>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</si>
  <si>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</si>
  <si>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</si>
  <si>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</si>
  <si>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</si>
  <si>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</si>
  <si>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</si>
  <si>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</si>
  <si>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</si>
  <si>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</si>
  <si>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</si>
  <si>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</si>
  <si>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</si>
  <si>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</si>
  <si>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</si>
  <si>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</si>
  <si>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</si>
  <si>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</si>
  <si>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</si>
  <si>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</si>
  <si>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</si>
  <si>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</si>
  <si>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</si>
  <si>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</si>
  <si>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</si>
  <si>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</si>
  <si>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</si>
  <si>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</si>
  <si>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</si>
  <si>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</si>
  <si>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</si>
  <si>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</si>
  <si>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</si>
  <si>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</si>
  <si>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</si>
  <si>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</si>
  <si>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</si>
  <si>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</si>
  <si>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</si>
  <si>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</si>
  <si>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</si>
  <si>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</si>
  <si>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</si>
  <si>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</si>
  <si>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</si>
  <si>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</si>
  <si>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</si>
  <si>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</si>
  <si>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</si>
  <si>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</si>
  <si>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</si>
  <si>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</si>
  <si>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</si>
  <si>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</si>
  <si>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</si>
  <si>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</si>
  <si>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</si>
  <si>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</si>
  <si>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</si>
  <si>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</si>
  <si>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</si>
  <si>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</si>
  <si>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</si>
  <si>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</si>
  <si>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</si>
  <si>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</si>
  <si>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</si>
  <si>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</si>
  <si>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</si>
  <si>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</si>
  <si>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</si>
  <si>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</si>
  <si>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</si>
  <si>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</si>
  <si>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</si>
  <si>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</si>
  <si>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</si>
  <si>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</si>
  <si>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</si>
  <si>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</si>
  <si>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</si>
  <si>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</si>
  <si>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</si>
  <si>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</si>
  <si>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</si>
  <si>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</si>
  <si>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</si>
  <si>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</si>
  <si>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</si>
  <si>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</si>
  <si>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</si>
  <si>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</si>
  <si>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</si>
  <si>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</si>
  <si>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</si>
  <si>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</si>
  <si>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</si>
  <si>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</si>
  <si>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</si>
  <si>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</si>
  <si>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</si>
  <si>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</si>
  <si>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</si>
  <si>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</si>
  <si>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</si>
  <si>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</si>
  <si>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</si>
  <si>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</si>
  <si>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</si>
  <si>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</si>
  <si>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</si>
  <si>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</si>
  <si>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</si>
  <si>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</si>
  <si>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</si>
  <si>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</si>
  <si>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</si>
  <si>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</si>
  <si>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</si>
  <si>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</si>
  <si>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</si>
  <si>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</si>
  <si>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</si>
  <si>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</si>
  <si>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</si>
  <si>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</si>
  <si>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</si>
  <si>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</si>
  <si>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</si>
  <si>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</si>
  <si>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</si>
  <si>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</si>
  <si>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</si>
  <si>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</si>
  <si>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</si>
  <si>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</si>
  <si>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</si>
  <si>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</si>
  <si>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</si>
  <si>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</si>
  <si>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</si>
  <si>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</si>
  <si>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</si>
  <si>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</si>
  <si>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</si>
  <si>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</si>
  <si>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</si>
  <si>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</si>
  <si>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</si>
  <si>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</si>
  <si>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</si>
  <si>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</si>
  <si>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</si>
  <si>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</si>
  <si>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</si>
  <si>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</si>
  <si>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</si>
  <si>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</si>
  <si>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</si>
  <si>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</si>
  <si>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</si>
  <si>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</si>
  <si>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</si>
  <si>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</si>
  <si>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</si>
  <si>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</si>
  <si>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</si>
  <si>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</si>
  <si>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</si>
  <si>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</si>
  <si>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</si>
  <si>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</si>
  <si>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</si>
  <si>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</si>
  <si>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</si>
  <si>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</si>
  <si>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</si>
  <si>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</si>
  <si>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</si>
  <si>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</si>
  <si>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</si>
  <si>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</si>
  <si>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</si>
  <si>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</si>
  <si>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</si>
  <si>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</si>
  <si>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</si>
  <si>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</si>
  <si>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</si>
  <si>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</si>
  <si>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</si>
  <si>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</si>
  <si>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</si>
  <si>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</si>
  <si>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</si>
  <si>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</si>
  <si>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</si>
  <si>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</si>
  <si>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</si>
  <si>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</si>
  <si>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</si>
  <si>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</si>
  <si>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</si>
  <si>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</si>
  <si>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</si>
  <si>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</si>
  <si>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</si>
  <si>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</si>
  <si>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</si>
  <si>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</si>
  <si>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</si>
  <si>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</si>
  <si>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</si>
  <si>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</si>
  <si>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</si>
  <si>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</si>
  <si>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</si>
  <si>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</si>
  <si>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</si>
  <si>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</si>
  <si>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</si>
  <si>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</si>
  <si>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</si>
  <si>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</si>
  <si>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</si>
  <si>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</si>
  <si>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</si>
  <si>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</si>
  <si>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</si>
  <si>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</si>
  <si>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</si>
  <si>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</si>
  <si>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</si>
  <si>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</si>
  <si>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</si>
  <si>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</si>
  <si>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</si>
  <si>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</si>
  <si>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</si>
  <si>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</si>
  <si>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</si>
  <si>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</si>
  <si>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</si>
  <si>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</si>
  <si>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</si>
  <si>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</si>
  <si>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</si>
  <si>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</si>
  <si>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</si>
  <si>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</si>
  <si>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</si>
  <si>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</si>
  <si>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</si>
  <si>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</si>
  <si>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</si>
  <si>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</si>
  <si>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</si>
  <si>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</si>
  <si>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</si>
  <si>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</si>
  <si>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</si>
  <si>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</si>
  <si>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</si>
  <si>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</si>
  <si>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</si>
  <si>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</si>
  <si>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</si>
  <si>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</si>
  <si>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</si>
  <si>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</si>
  <si>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</si>
  <si>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</si>
  <si>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</si>
  <si>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</si>
  <si>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</si>
  <si>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</si>
  <si>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</si>
  <si>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</si>
  <si>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</si>
  <si>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</si>
  <si>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</si>
  <si>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</si>
  <si>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</si>
  <si>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</si>
  <si>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</si>
  <si>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</si>
  <si>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</si>
  <si>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</si>
  <si>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</si>
  <si>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</si>
  <si>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</si>
  <si>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</si>
  <si>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</si>
  <si>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</si>
  <si>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</si>
  <si>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</si>
  <si>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</si>
  <si>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</si>
  <si>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</si>
  <si>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</si>
  <si>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</si>
  <si>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</si>
  <si>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</si>
  <si>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</si>
  <si>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</si>
  <si>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</si>
  <si>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</si>
  <si>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</si>
  <si>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</si>
  <si>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</si>
  <si>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</si>
  <si>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</si>
  <si>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</si>
  <si>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</si>
  <si>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</si>
  <si>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</si>
  <si>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</si>
  <si>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</si>
  <si>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</si>
  <si>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</si>
  <si>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</si>
  <si>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</si>
  <si>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</si>
  <si>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</si>
  <si>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</si>
  <si>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</si>
  <si>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</si>
  <si>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</si>
  <si>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</si>
  <si>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</si>
  <si>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</si>
  <si>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</si>
  <si>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</si>
  <si>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</si>
  <si>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</si>
  <si>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</si>
  <si>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</si>
  <si>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</si>
  <si>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</si>
  <si>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</si>
  <si>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</si>
  <si>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</si>
  <si>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</si>
  <si>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</si>
  <si>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</si>
  <si>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</si>
  <si>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</si>
  <si>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</si>
  <si>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</si>
  <si>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</si>
  <si>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</si>
  <si>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</si>
  <si>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</si>
  <si>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</si>
  <si>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</si>
  <si>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</si>
  <si>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</si>
  <si>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</si>
  <si>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</si>
  <si>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</si>
  <si>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</si>
  <si>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</si>
  <si>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</si>
  <si>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</si>
  <si>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</si>
  <si>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</si>
  <si>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</si>
  <si>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</si>
  <si>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</si>
  <si>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</si>
  <si>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</si>
  <si>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</si>
  <si>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</si>
  <si>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</si>
  <si>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</si>
  <si>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</si>
  <si>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</si>
  <si>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</si>
  <si>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</si>
  <si>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</si>
  <si>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</si>
  <si>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</si>
  <si>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</si>
  <si>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</si>
  <si>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</si>
  <si>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</si>
  <si>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</si>
  <si>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</si>
  <si>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</si>
  <si>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</si>
  <si>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</si>
  <si>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</si>
  <si>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</si>
  <si>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</si>
  <si>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</si>
  <si>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</si>
  <si>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</si>
  <si>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</si>
  <si>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</si>
  <si>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</si>
  <si>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</si>
  <si>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</si>
  <si>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</si>
  <si>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</si>
  <si>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</si>
  <si>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</si>
  <si>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</si>
  <si>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</si>
  <si>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</si>
  <si>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</si>
  <si>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</si>
  <si>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</si>
  <si>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</si>
  <si>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</si>
  <si>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</si>
  <si>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</si>
  <si>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</si>
  <si>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</si>
  <si>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</si>
  <si>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</si>
  <si>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</si>
  <si>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</si>
  <si>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</si>
  <si>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</si>
  <si>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</si>
  <si>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</si>
  <si>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</si>
  <si>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</si>
  <si>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</si>
  <si>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</si>
  <si>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</si>
  <si>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</si>
  <si>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</si>
  <si>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</si>
  <si>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</si>
  <si>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</si>
  <si>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</si>
  <si>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</si>
  <si>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</si>
  <si>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</si>
  <si>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</si>
  <si>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</si>
  <si>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</si>
  <si>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</si>
  <si>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</si>
  <si>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</si>
  <si>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</si>
  <si>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</si>
  <si>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</si>
  <si>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</si>
  <si>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</si>
  <si>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</si>
  <si>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</si>
  <si>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</si>
  <si>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</si>
  <si>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</si>
  <si>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</si>
  <si>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</si>
  <si>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</si>
  <si>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</si>
  <si>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</si>
  <si>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</si>
  <si>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</si>
  <si>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</si>
  <si>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</si>
  <si>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</si>
  <si>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</si>
  <si>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</si>
  <si>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</si>
  <si>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</si>
  <si>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</si>
  <si>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</si>
  <si>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</si>
  <si>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</si>
  <si>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</si>
  <si>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</si>
  <si>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</si>
  <si>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</si>
  <si>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</si>
  <si>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</si>
  <si>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</si>
  <si>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</si>
  <si>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</si>
  <si>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</si>
  <si>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</si>
  <si>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</si>
  <si>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</si>
  <si>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</si>
  <si>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</si>
  <si>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</si>
  <si>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</si>
  <si>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</si>
  <si>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</si>
  <si>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</si>
  <si>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</si>
  <si>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</si>
  <si>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</si>
  <si>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</si>
  <si>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</si>
  <si>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</si>
  <si>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</si>
  <si>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</si>
  <si>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</si>
  <si>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</si>
  <si>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</si>
  <si>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</si>
  <si>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</si>
  <si>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</si>
  <si>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</si>
  <si>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</si>
  <si>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</si>
  <si>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</si>
  <si>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</si>
  <si>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</si>
  <si>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</si>
  <si>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</si>
  <si>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</si>
  <si>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</si>
  <si>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</si>
  <si>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</si>
  <si>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</si>
  <si>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</si>
  <si>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</si>
  <si>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</si>
  <si>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</si>
  <si>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</si>
  <si>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</si>
  <si>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</si>
  <si>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</si>
  <si>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</si>
  <si>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</si>
  <si>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</si>
  <si>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</si>
  <si>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</si>
  <si>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</si>
  <si>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</si>
  <si>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</si>
  <si>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</si>
  <si>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</si>
  <si>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</si>
  <si>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</si>
  <si>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</si>
  <si>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</si>
  <si>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</si>
  <si>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</si>
  <si>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</si>
  <si>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</si>
  <si>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</si>
  <si>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</si>
  <si>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</si>
  <si>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</si>
  <si>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</si>
  <si>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</si>
  <si>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</si>
  <si>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</si>
  <si>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</si>
  <si>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</si>
  <si>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</si>
  <si>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</si>
  <si>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</si>
  <si>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</si>
  <si>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</si>
  <si>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</si>
  <si>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</si>
  <si>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</si>
  <si>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</si>
  <si>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</si>
  <si>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</si>
  <si>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</si>
  <si>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</si>
  <si>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</si>
  <si>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</si>
  <si>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</si>
  <si>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</si>
  <si>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</si>
  <si>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</si>
  <si>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</si>
  <si>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</si>
  <si>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</si>
  <si>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</si>
  <si>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</si>
  <si>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</si>
  <si>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</si>
  <si>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</si>
  <si>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</si>
  <si>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</si>
  <si>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</si>
  <si>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</si>
  <si>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</si>
  <si>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</si>
  <si>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</si>
  <si>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</si>
  <si>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</si>
  <si>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</si>
  <si>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</si>
  <si>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</si>
  <si>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</si>
  <si>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</si>
  <si>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</si>
  <si>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</si>
  <si>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</si>
  <si>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</si>
  <si>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</si>
  <si>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</si>
  <si>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</si>
  <si>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</si>
  <si>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</si>
  <si>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</si>
  <si>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</si>
  <si>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</si>
  <si>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</si>
  <si>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</si>
  <si>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</si>
  <si>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</si>
  <si>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</si>
  <si>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</si>
  <si>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</si>
  <si>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</si>
  <si>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</si>
  <si>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</si>
  <si>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</si>
  <si>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</si>
  <si>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</si>
  <si>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</si>
  <si>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</si>
  <si>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</si>
  <si>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</si>
  <si>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</si>
  <si>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</si>
  <si>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</si>
  <si>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</si>
  <si>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</si>
  <si>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</si>
  <si>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</si>
  <si>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</si>
  <si>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</si>
  <si>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</si>
  <si>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</si>
  <si>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</si>
  <si>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</si>
  <si>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</si>
  <si>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</si>
  <si>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</si>
  <si>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</si>
  <si>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</si>
  <si>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</si>
  <si>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</si>
  <si>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</si>
  <si>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</si>
  <si>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</si>
  <si>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</si>
  <si>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</si>
  <si>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</si>
  <si>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</si>
  <si>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</si>
  <si>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</si>
  <si>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</si>
  <si>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</si>
  <si>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</si>
  <si>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</si>
  <si>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</si>
  <si>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</si>
  <si>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</si>
  <si>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</si>
  <si>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</si>
  <si>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</si>
  <si>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</si>
  <si>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</si>
  <si>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</si>
  <si>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</si>
  <si>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</si>
  <si>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</si>
  <si>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</si>
  <si>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</si>
  <si>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</si>
  <si>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</si>
  <si>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</si>
  <si>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</si>
  <si>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</si>
  <si>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</si>
  <si>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</si>
  <si>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</si>
  <si>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</si>
  <si>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</si>
  <si>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</si>
  <si>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</si>
  <si>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</si>
  <si>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</si>
  <si>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</si>
  <si>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</si>
  <si>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</si>
  <si>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</si>
  <si>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</si>
  <si>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</si>
  <si>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</si>
  <si>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</si>
  <si>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</si>
  <si>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</si>
  <si>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</si>
  <si>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</si>
  <si>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</si>
  <si>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</si>
  <si>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</si>
  <si>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</si>
  <si>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</si>
  <si>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</si>
  <si>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</si>
  <si>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</si>
  <si>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</si>
  <si>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</si>
  <si>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</si>
  <si>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</si>
  <si>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</si>
  <si>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</si>
  <si>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</si>
  <si>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</si>
  <si>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</si>
  <si>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</si>
  <si>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</si>
  <si>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</si>
  <si>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</si>
  <si>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</si>
  <si>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</si>
  <si>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</si>
  <si>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</si>
  <si>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</si>
  <si>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</si>
  <si>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</si>
  <si>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</si>
  <si>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</si>
  <si>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</si>
  <si>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</si>
  <si>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</si>
  <si>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</si>
  <si>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</si>
  <si>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</si>
  <si>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</si>
  <si>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</si>
  <si>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</si>
  <si>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</si>
  <si>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</si>
  <si>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</si>
  <si>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</si>
  <si>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</si>
  <si>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</si>
  <si>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</si>
  <si>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</si>
  <si>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</si>
  <si>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</si>
  <si>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</si>
  <si>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</si>
  <si>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</si>
  <si>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</si>
  <si>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</si>
  <si>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</si>
  <si>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</si>
  <si>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</si>
  <si>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</si>
  <si>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</si>
  <si>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</si>
  <si>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</si>
  <si>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</si>
  <si>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</si>
  <si>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</si>
  <si>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</si>
  <si>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</si>
  <si>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</si>
  <si>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</si>
  <si>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</si>
  <si>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</si>
  <si>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</si>
  <si>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</si>
  <si>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</si>
  <si>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</si>
  <si>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</si>
  <si>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</si>
  <si>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</si>
  <si>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</si>
  <si>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</si>
  <si>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</si>
  <si>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</si>
  <si>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</si>
  <si>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</si>
  <si>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</si>
  <si>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</si>
  <si>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</si>
  <si>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</si>
  <si>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</si>
  <si>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</si>
  <si>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</si>
  <si>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</si>
  <si>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</si>
  <si>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</si>
  <si>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</si>
  <si>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</si>
  <si>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</si>
  <si>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</si>
  <si>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</si>
  <si>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</si>
  <si>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</si>
  <si>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</si>
  <si>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</si>
  <si>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</si>
  <si>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</si>
  <si>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</si>
  <si>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</si>
  <si>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</si>
  <si>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</si>
  <si>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</si>
  <si>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</si>
  <si>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</si>
  <si>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</si>
  <si>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</si>
  <si>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</si>
  <si>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</si>
  <si>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</si>
  <si>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</si>
  <si>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</si>
  <si>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</si>
  <si>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</si>
  <si>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</si>
  <si>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</si>
  <si>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</si>
  <si>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</si>
  <si>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</si>
  <si>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</si>
  <si>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</si>
  <si>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</si>
  <si>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</si>
  <si>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</si>
  <si>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</si>
  <si>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</si>
  <si>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</si>
  <si>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</si>
  <si>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</si>
  <si>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</si>
  <si>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</si>
  <si>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</si>
  <si>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</si>
  <si>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</si>
  <si>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</si>
  <si>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</si>
  <si>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</si>
  <si>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</si>
  <si>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</si>
  <si>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</si>
  <si>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</si>
  <si>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</si>
  <si>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</si>
  <si>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</si>
  <si>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</si>
  <si>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</si>
  <si>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</si>
  <si>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</si>
  <si>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</si>
  <si>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</si>
  <si>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</si>
  <si>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</si>
  <si>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</si>
  <si>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</si>
  <si>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</si>
  <si>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</si>
  <si>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</si>
  <si>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</si>
  <si>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</si>
  <si>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</si>
  <si>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</si>
  <si>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</si>
  <si>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</si>
  <si>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</si>
  <si>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</si>
  <si>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</si>
  <si>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</si>
  <si>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</si>
  <si>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</si>
  <si>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</si>
  <si>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</si>
  <si>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</si>
  <si>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</si>
  <si>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</si>
  <si>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</si>
  <si>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</si>
  <si>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</si>
  <si>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</si>
  <si>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</si>
  <si>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</si>
  <si>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</si>
  <si>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</si>
  <si>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</si>
  <si>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</si>
  <si>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</si>
  <si>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</si>
  <si>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</si>
  <si>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</si>
  <si>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</si>
  <si>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</si>
  <si>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</si>
  <si>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</si>
  <si>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</si>
  <si>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</si>
  <si>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</si>
  <si>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</si>
  <si>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</si>
  <si>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</si>
  <si>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</si>
  <si>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</si>
  <si>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</si>
  <si>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</si>
  <si>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</si>
  <si>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</si>
  <si>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</si>
  <si>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</si>
  <si>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</si>
  <si>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</si>
  <si>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</si>
  <si>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</si>
  <si>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</si>
  <si>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</si>
  <si>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</si>
  <si>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</si>
  <si>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</si>
  <si>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</si>
  <si>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</si>
  <si>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</si>
  <si>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</si>
  <si>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</si>
  <si>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</si>
  <si>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</si>
  <si>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</si>
  <si>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</si>
  <si>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</si>
  <si>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</si>
  <si>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</si>
  <si>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</si>
  <si>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</si>
  <si>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</si>
  <si>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</si>
  <si>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</si>
  <si>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</si>
  <si>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</si>
  <si>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</si>
  <si>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</si>
  <si>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</si>
  <si>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</si>
  <si>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</si>
  <si>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</si>
  <si>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</si>
  <si>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</si>
  <si>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</si>
  <si>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</si>
  <si>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</si>
  <si>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</si>
  <si>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</si>
  <si>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</si>
  <si>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</si>
  <si>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</si>
  <si>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</si>
  <si>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</si>
  <si>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</si>
  <si>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</si>
  <si>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</si>
  <si>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</si>
  <si>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</si>
  <si>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</si>
  <si>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</si>
  <si>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</si>
  <si>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</si>
  <si>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</si>
  <si>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</si>
  <si>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</si>
  <si>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</si>
  <si>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</si>
  <si>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</si>
  <si>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</si>
  <si>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</si>
  <si>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</si>
  <si>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</si>
  <si>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</si>
  <si>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</si>
  <si>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</si>
  <si>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</si>
  <si>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</si>
  <si>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</si>
  <si>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</si>
  <si>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</si>
  <si>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</si>
  <si>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</si>
  <si>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</si>
  <si>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</si>
  <si>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</si>
  <si>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</si>
  <si>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</si>
  <si>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</si>
  <si>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</si>
  <si>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</si>
  <si>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</si>
  <si>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</si>
  <si>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</si>
  <si>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</si>
  <si>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</si>
  <si>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</si>
  <si>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</si>
  <si>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</si>
  <si>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</si>
  <si>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</si>
  <si>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</si>
  <si>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</si>
  <si>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</si>
  <si>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</si>
  <si>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</si>
  <si>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</si>
  <si>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</si>
  <si>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</si>
  <si>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</si>
  <si>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</si>
  <si>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</si>
  <si>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</si>
  <si>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</si>
  <si>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</si>
  <si>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</si>
  <si>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</si>
  <si>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</si>
  <si>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</si>
  <si>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</si>
  <si>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</si>
  <si>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</si>
  <si>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</si>
  <si>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</si>
  <si>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</si>
  <si>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</si>
  <si>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</si>
  <si>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</si>
  <si>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</si>
  <si>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</si>
  <si>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</si>
  <si>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</si>
  <si>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</si>
  <si>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</si>
  <si>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</si>
  <si>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</si>
  <si>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</si>
  <si>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</si>
  <si>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</si>
  <si>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</si>
  <si>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</si>
  <si>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</si>
  <si>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</si>
  <si>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</si>
  <si>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</si>
  <si>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</si>
  <si>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</si>
  <si>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</si>
  <si>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</si>
  <si>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</si>
  <si>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</si>
  <si>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</si>
  <si>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</si>
  <si>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</si>
  <si>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</si>
  <si>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</si>
  <si>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</si>
  <si>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</si>
  <si>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</si>
  <si>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</si>
  <si>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</si>
  <si>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</si>
  <si>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</si>
  <si>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</si>
  <si>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</si>
  <si>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</si>
  <si>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</si>
  <si>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</si>
  <si>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</si>
  <si>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</si>
  <si>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</si>
  <si>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</si>
  <si>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</si>
  <si>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</si>
  <si>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</si>
  <si>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</si>
  <si>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</si>
  <si>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</si>
  <si>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</si>
  <si>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</si>
  <si>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</si>
  <si>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</si>
  <si>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</si>
  <si>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</si>
  <si>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</si>
  <si>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</si>
  <si>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</si>
  <si>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</si>
  <si>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</si>
  <si>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</si>
  <si>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</si>
  <si>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</si>
  <si>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</si>
  <si>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</si>
  <si>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</si>
  <si>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</si>
  <si>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</si>
  <si>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</si>
  <si>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</si>
  <si>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</si>
  <si>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</si>
  <si>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</si>
  <si>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</si>
  <si>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</si>
  <si>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</si>
  <si>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</si>
  <si>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</si>
  <si>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</si>
  <si>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</si>
  <si>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</si>
  <si>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</si>
  <si>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</si>
  <si>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</si>
  <si>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</si>
  <si>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</si>
  <si>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</si>
  <si>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</si>
  <si>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</si>
  <si>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</si>
  <si>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</si>
  <si>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</si>
  <si>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</si>
  <si>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</si>
  <si>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</si>
  <si>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</si>
  <si>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</si>
  <si>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</si>
  <si>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</si>
  <si>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</si>
  <si>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</si>
  <si>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</si>
  <si>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</si>
  <si>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</si>
  <si>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</si>
  <si>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</si>
  <si>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</si>
  <si>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</si>
  <si>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</si>
  <si>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</si>
  <si>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</si>
  <si>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</si>
  <si>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</si>
  <si>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</si>
  <si>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</si>
  <si>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</si>
  <si>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</si>
  <si>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</si>
  <si>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</si>
  <si>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</si>
  <si>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</si>
  <si>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</si>
  <si>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</si>
  <si>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</si>
  <si>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</si>
  <si>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</si>
  <si>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</si>
  <si>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</si>
  <si>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</si>
  <si>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</si>
  <si>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</si>
  <si>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</si>
  <si>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</si>
  <si>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</si>
  <si>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</si>
  <si>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</si>
  <si>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</si>
  <si>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</si>
  <si>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</si>
  <si>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</si>
  <si>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</si>
  <si>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</si>
  <si>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</si>
  <si>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</si>
  <si>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</si>
  <si>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</si>
  <si>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</si>
  <si>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</si>
  <si>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</si>
  <si>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</si>
  <si>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</si>
  <si>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</si>
  <si>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</si>
  <si>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</si>
  <si>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</si>
  <si>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</si>
  <si>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</si>
  <si>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</si>
  <si>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</si>
  <si>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</si>
  <si>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</si>
  <si>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</si>
  <si>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</si>
  <si>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</si>
  <si>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</si>
  <si>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</si>
  <si>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</si>
  <si>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</si>
  <si>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</si>
  <si>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</si>
  <si>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</si>
  <si>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</si>
  <si>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</si>
  <si>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</si>
  <si>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</si>
  <si>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</si>
  <si>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</si>
  <si>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</si>
  <si>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</si>
  <si>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</si>
  <si>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</si>
  <si>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</si>
  <si>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</si>
  <si>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</si>
  <si>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</si>
  <si>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</si>
  <si>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</si>
  <si>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</si>
  <si>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</si>
  <si>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</si>
  <si>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</si>
  <si>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</si>
  <si>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</si>
  <si>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</si>
  <si>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</si>
  <si>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</si>
  <si>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</si>
  <si>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</si>
  <si>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</si>
  <si>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</si>
  <si>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</si>
  <si>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</si>
  <si>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</si>
  <si>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</si>
  <si>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</si>
  <si>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</si>
  <si>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</si>
  <si>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</si>
  <si>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</si>
  <si>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</si>
  <si>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</si>
  <si>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</si>
  <si>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</si>
  <si>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</si>
  <si>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</si>
  <si>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</si>
  <si>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</si>
  <si>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</si>
  <si>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</si>
  <si>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</si>
  <si>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</si>
  <si>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</si>
  <si>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</si>
  <si>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</si>
  <si>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</si>
  <si>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</si>
  <si>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</si>
  <si>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</si>
  <si>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</si>
  <si>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</si>
  <si>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</si>
  <si>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</si>
  <si>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</si>
  <si>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</si>
  <si>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</si>
  <si>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</si>
  <si>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</si>
  <si>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</si>
  <si>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</si>
  <si>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</si>
  <si>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</si>
  <si>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</si>
  <si>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</si>
  <si>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</si>
  <si>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</si>
  <si>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</si>
  <si>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</si>
  <si>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</si>
  <si>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</si>
  <si>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</si>
  <si>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</si>
  <si>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</si>
  <si>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</si>
  <si>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</si>
  <si>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</si>
  <si>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</si>
  <si>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</si>
  <si>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</si>
  <si>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</si>
  <si>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</si>
  <si>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</si>
  <si>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</si>
  <si>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</si>
  <si>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</si>
  <si>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</si>
  <si>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</si>
  <si>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</si>
  <si>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</si>
  <si>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</si>
  <si>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</si>
  <si>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</si>
  <si>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</si>
  <si>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</si>
  <si>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</si>
  <si>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</si>
  <si>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</si>
  <si>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</si>
  <si>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</si>
  <si>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</si>
  <si>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</si>
  <si>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</si>
  <si>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</si>
  <si>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</si>
  <si>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</si>
  <si>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</si>
  <si>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</si>
  <si>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</si>
  <si>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</si>
  <si>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</si>
  <si>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</si>
  <si>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</si>
  <si>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</si>
  <si>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</si>
  <si>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</si>
  <si>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</si>
  <si>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</si>
  <si>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</si>
  <si>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</si>
  <si>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</si>
  <si>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</si>
  <si>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</si>
  <si>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</si>
  <si>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</si>
  <si>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</si>
  <si>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</si>
  <si>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</si>
  <si>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</si>
  <si>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</si>
  <si>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</si>
  <si>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</si>
  <si>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</si>
  <si>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</si>
  <si>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</si>
  <si>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</si>
  <si>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</si>
  <si>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</si>
  <si>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</si>
  <si>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</si>
  <si>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</si>
  <si>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</si>
  <si>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</si>
  <si>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</si>
  <si>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</si>
  <si>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</si>
  <si>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</si>
  <si>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</si>
  <si>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</si>
  <si>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</si>
  <si>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</si>
  <si>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</si>
  <si>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</si>
  <si>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</si>
  <si>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</si>
  <si>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</si>
  <si>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</si>
  <si>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</si>
  <si>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</si>
  <si>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</si>
  <si>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</si>
  <si>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</si>
  <si>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</si>
  <si>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</si>
  <si>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</si>
  <si>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</si>
  <si>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</si>
  <si>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</si>
  <si>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</si>
  <si>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</si>
  <si>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</si>
  <si>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</si>
  <si>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</si>
  <si>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</si>
  <si>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</si>
  <si>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</si>
  <si>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</si>
  <si>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</si>
  <si>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</si>
  <si>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</si>
  <si>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</si>
  <si>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</si>
  <si>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</si>
  <si>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</si>
  <si>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</si>
  <si>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</si>
  <si>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</si>
  <si>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</si>
  <si>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</si>
  <si>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</si>
  <si>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</si>
  <si>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</si>
  <si>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</si>
  <si>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</si>
  <si>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</si>
  <si>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</si>
  <si>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</si>
  <si>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</si>
  <si>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</si>
  <si>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</si>
  <si>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</si>
  <si>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</si>
  <si>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</si>
  <si>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</si>
  <si>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</si>
  <si>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</si>
  <si>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</si>
  <si>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</si>
  <si>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</si>
  <si>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</si>
  <si>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</si>
  <si>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</si>
  <si>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</si>
  <si>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</si>
  <si>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</si>
  <si>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</si>
  <si>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</si>
  <si>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</si>
  <si>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</si>
  <si>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</si>
  <si>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</si>
  <si>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</si>
  <si>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</si>
  <si>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</si>
  <si>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</si>
  <si>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</si>
  <si>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</si>
  <si>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</si>
  <si>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</si>
  <si>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</si>
  <si>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</si>
  <si>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</si>
  <si>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</si>
  <si>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</si>
  <si>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</si>
  <si>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</si>
  <si>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</si>
  <si>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</si>
  <si>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</si>
  <si>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</si>
  <si>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</si>
  <si>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</si>
  <si>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</si>
  <si>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</si>
  <si>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</si>
  <si>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</si>
  <si>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</si>
  <si>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</si>
  <si>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</si>
  <si>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</si>
  <si>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</si>
  <si>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</si>
  <si>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</si>
  <si>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</si>
  <si>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</si>
  <si>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</si>
  <si>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</si>
  <si>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</si>
  <si>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</si>
  <si>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</si>
  <si>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</si>
  <si>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</si>
  <si>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</si>
  <si>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</si>
  <si>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</si>
  <si>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</si>
  <si>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</si>
  <si>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</si>
  <si>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</si>
  <si>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</si>
  <si>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</si>
  <si>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</si>
  <si>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</si>
  <si>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</si>
  <si>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</si>
  <si>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</si>
  <si>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</si>
  <si>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</si>
  <si>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</si>
  <si>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</si>
  <si>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</si>
  <si>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</si>
  <si>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</si>
  <si>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</si>
  <si>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</si>
  <si>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</si>
  <si>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</si>
  <si>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</si>
  <si>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</si>
  <si>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</si>
  <si>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</si>
  <si>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</si>
  <si>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</si>
  <si>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</si>
  <si>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</si>
  <si>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</si>
  <si>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</si>
  <si>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</si>
  <si>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</si>
  <si>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</si>
  <si>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</si>
  <si>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</si>
  <si>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</si>
  <si>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</si>
  <si>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</si>
  <si>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</si>
  <si>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</si>
  <si>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</si>
  <si>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</si>
  <si>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</si>
  <si>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</si>
  <si>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</si>
  <si>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</si>
  <si>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</si>
  <si>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</si>
  <si>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</si>
  <si>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</si>
  <si>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</si>
  <si>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</si>
  <si>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</si>
  <si>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</si>
  <si>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</si>
  <si>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</si>
  <si>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</si>
  <si>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</si>
  <si>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</si>
  <si>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</si>
  <si>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</si>
  <si>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</si>
  <si>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</si>
  <si>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</si>
  <si>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</si>
  <si>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</si>
  <si>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</si>
  <si>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</si>
  <si>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</si>
  <si>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</si>
  <si>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</si>
  <si>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</si>
  <si>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</si>
  <si>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</si>
  <si>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</si>
  <si>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</si>
  <si>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</si>
  <si>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</si>
  <si>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</si>
  <si>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</si>
  <si>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</si>
  <si>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</si>
  <si>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</si>
  <si>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</si>
  <si>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</si>
  <si>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</si>
  <si>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</si>
  <si>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</si>
  <si>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</si>
  <si>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</si>
  <si>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</si>
  <si>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</si>
  <si>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</si>
  <si>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</si>
  <si>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</si>
  <si>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</si>
  <si>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</si>
  <si>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</si>
  <si>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</si>
  <si>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</si>
  <si>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</si>
  <si>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</si>
  <si>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</si>
  <si>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</si>
  <si>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</si>
  <si>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</si>
  <si>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</si>
  <si>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</si>
  <si>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</si>
  <si>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</si>
  <si>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</si>
  <si>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</si>
  <si>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</si>
  <si>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</si>
  <si>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</si>
  <si>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</si>
  <si>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</si>
  <si>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</si>
  <si>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</si>
  <si>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</si>
  <si>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</si>
  <si>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</si>
  <si>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</si>
  <si>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</si>
  <si>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</si>
  <si>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</si>
  <si>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</si>
  <si>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</si>
  <si>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</si>
  <si>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</si>
  <si>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</si>
  <si>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</si>
  <si>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</si>
  <si>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</si>
  <si>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</si>
  <si>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</si>
  <si>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</si>
  <si>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</si>
  <si>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</si>
  <si>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</si>
  <si>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</si>
  <si>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</si>
  <si>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</si>
  <si>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</si>
  <si>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</si>
  <si>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</si>
  <si>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</si>
  <si>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</si>
  <si>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</si>
  <si>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</si>
  <si>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</si>
  <si>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</si>
  <si>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</si>
  <si>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</si>
  <si>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</si>
  <si>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</si>
  <si>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</si>
  <si>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</si>
  <si>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</si>
  <si>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</si>
  <si>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</si>
  <si>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</si>
  <si>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</si>
  <si>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</si>
  <si>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</si>
  <si>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</si>
  <si>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</si>
  <si>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</si>
  <si>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</si>
  <si>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</si>
  <si>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</si>
  <si>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</si>
  <si>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</si>
  <si>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</si>
  <si>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</si>
  <si>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</si>
  <si>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</si>
  <si>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</si>
  <si>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</si>
  <si>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</si>
  <si>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</si>
  <si>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</si>
  <si>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</si>
  <si>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</si>
  <si>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</si>
  <si>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</si>
  <si>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</si>
  <si>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</si>
  <si>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</si>
  <si>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</si>
  <si>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</si>
  <si>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</si>
  <si>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</si>
  <si>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</si>
  <si>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</si>
  <si>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</si>
  <si>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</si>
  <si>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</si>
  <si>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</si>
  <si>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</si>
  <si>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</si>
  <si>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</si>
  <si>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</si>
  <si>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</si>
  <si>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</si>
  <si>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</si>
  <si>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</si>
  <si>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</si>
  <si>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</si>
  <si>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</si>
  <si>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</si>
  <si>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</si>
  <si>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</si>
  <si>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</si>
  <si>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</si>
  <si>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</si>
  <si>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</si>
  <si>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</si>
  <si>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</si>
  <si>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</si>
  <si>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</si>
  <si>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</si>
  <si>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</si>
  <si>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</si>
  <si>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</si>
  <si>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</si>
  <si>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</si>
  <si>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</si>
  <si>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</si>
  <si>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</si>
  <si>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</si>
  <si>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</si>
  <si>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</si>
  <si>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</si>
  <si>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</si>
  <si>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</si>
  <si>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</si>
  <si>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</si>
  <si>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</si>
  <si>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</si>
  <si>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</si>
  <si>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</si>
  <si>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</si>
  <si>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</si>
  <si>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</si>
  <si>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</si>
  <si>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</si>
  <si>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</si>
  <si>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</si>
  <si>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</si>
  <si>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</si>
  <si>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</si>
  <si>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</si>
  <si>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</si>
  <si>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</si>
  <si>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</si>
  <si>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</si>
  <si>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</si>
  <si>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</si>
  <si>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</si>
  <si>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</si>
  <si>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</si>
  <si>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</si>
  <si>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</si>
  <si>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</si>
  <si>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</si>
  <si>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</si>
  <si>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</si>
  <si>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</si>
  <si>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</si>
  <si>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</si>
  <si>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</si>
  <si>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</si>
  <si>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</si>
  <si>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</si>
  <si>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</si>
  <si>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</si>
  <si>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</si>
  <si>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</si>
  <si>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</si>
  <si>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</si>
  <si>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</si>
  <si>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</si>
  <si>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</si>
  <si>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</si>
  <si>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</si>
  <si>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</si>
  <si>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</si>
  <si>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</si>
  <si>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</si>
  <si>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</si>
  <si>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</si>
  <si>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</si>
  <si>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</si>
  <si>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</si>
  <si>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</si>
  <si>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</si>
  <si>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</si>
  <si>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</si>
  <si>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</si>
  <si>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</si>
  <si>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</si>
  <si>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</si>
  <si>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</si>
  <si>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</si>
  <si>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</si>
  <si>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</si>
  <si>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</si>
  <si>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</si>
  <si>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</si>
  <si>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</si>
  <si>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</si>
  <si>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</si>
  <si>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</si>
  <si>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</si>
  <si>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</si>
  <si>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</si>
  <si>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</si>
  <si>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</si>
  <si>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</si>
  <si>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</si>
  <si>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</si>
  <si>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</si>
  <si>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</si>
  <si>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</si>
  <si>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</si>
  <si>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</si>
  <si>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</si>
  <si>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</si>
  <si>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</si>
  <si>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</si>
  <si>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</si>
  <si>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</si>
  <si>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</si>
  <si>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</si>
  <si>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</si>
  <si>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</si>
  <si>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</si>
  <si>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</si>
  <si>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</si>
  <si>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</si>
  <si>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</si>
  <si>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</si>
  <si>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</si>
  <si>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</si>
  <si>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</si>
  <si>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</si>
  <si>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</si>
  <si>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</si>
  <si>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</si>
  <si>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</si>
  <si>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</si>
  <si>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</si>
  <si>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</si>
  <si>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</si>
  <si>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</si>
  <si>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</si>
  <si>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</si>
  <si>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</si>
  <si>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</si>
  <si>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</si>
  <si>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</si>
  <si>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</si>
  <si>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</si>
  <si>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</si>
  <si>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</si>
  <si>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</si>
  <si>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</si>
  <si>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</si>
  <si>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</si>
  <si>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</si>
  <si>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</si>
  <si>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</si>
  <si>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</si>
  <si>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</si>
  <si>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</si>
  <si>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</si>
  <si>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</si>
  <si>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</si>
  <si>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</si>
  <si>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</si>
  <si>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</si>
  <si>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</si>
  <si>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</si>
  <si>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</si>
  <si>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</si>
  <si>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</si>
  <si>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</si>
  <si>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</si>
  <si>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</si>
  <si>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</si>
  <si>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</si>
  <si>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</si>
  <si>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</si>
  <si>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</si>
  <si>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</si>
  <si>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</si>
  <si>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</si>
  <si>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</si>
  <si>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</si>
  <si>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</si>
  <si>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</si>
  <si>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</si>
  <si>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</si>
  <si>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</si>
  <si>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</si>
  <si>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</si>
  <si>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</si>
  <si>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</si>
  <si>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</si>
  <si>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</si>
  <si>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</si>
  <si>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</si>
  <si>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</si>
  <si>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</si>
  <si>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</si>
  <si>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</si>
  <si>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</si>
  <si>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</si>
  <si>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</si>
  <si>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</si>
  <si>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</si>
  <si>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</si>
  <si>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</si>
  <si>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</si>
  <si>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</si>
  <si>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</si>
  <si>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</si>
  <si>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</si>
  <si>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</si>
  <si>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</si>
  <si>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</si>
  <si>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</si>
  <si>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</si>
  <si>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COMISION MUNICIPAL DE CULTURA FISICA Y DEPORTE DE LEON GUANAJUATO</t>
  </si>
  <si>
    <t>CAPACITACION CONTINUA</t>
  </si>
  <si>
    <t>INFORMATICA Y PROGRAMACION</t>
  </si>
  <si>
    <t>OPERACION DE DEPORTE SELECTIVO</t>
  </si>
  <si>
    <t>OLIMPIADA Y PARA OLIMPIADA NACIONAL</t>
  </si>
  <si>
    <t>CIENCIAS APLICADAS AL DEPORTE</t>
  </si>
  <si>
    <t>OPERACION DE EVENTOS Y MERCADOTECNIA</t>
  </si>
  <si>
    <t>COMUNICACION SOCIAL</t>
  </si>
  <si>
    <t>MERCADOTECNIA</t>
  </si>
  <si>
    <t>ACTIVACION FISICA EN MINIDEPORTIVAS</t>
  </si>
  <si>
    <t>ACTIVACION FISICA ESCOLAR Y LABORAL</t>
  </si>
  <si>
    <t>OPERACION DE INFRAESTRUCTURA</t>
  </si>
  <si>
    <t>DIRECCION DE CONTROL</t>
  </si>
  <si>
    <t>OPERACIÓN DEPORTE SELECTIVO</t>
  </si>
  <si>
    <t>OPERACIÓN DE INFRAESTRUCTURA</t>
  </si>
  <si>
    <t>ADMINISTRACION DE BIENES Y RECURSOS FINA</t>
  </si>
  <si>
    <t>PROTECCION CIVIL</t>
  </si>
  <si>
    <t>METODOLOGIA DEL ENTRENAMIENTO</t>
  </si>
  <si>
    <t>GESTION Y ATENCION CIUDADNA A TRAVEZ</t>
  </si>
  <si>
    <t>PROGRAMAS DE INNOVACION</t>
  </si>
  <si>
    <t>APOYO A EVENTOS DEPORTIVOS</t>
  </si>
  <si>
    <t>MARATON LEON</t>
  </si>
  <si>
    <t>CULTURA FISICA Y RECREACION</t>
  </si>
  <si>
    <t>CURSO DE VERANO</t>
  </si>
  <si>
    <t>PERSONAS CON DISCAPACIDAD</t>
  </si>
  <si>
    <t>ESCUELAS DE INICIO AL DEPORTE UNIDADES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</si>
  <si>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</si>
  <si>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</si>
  <si>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</si>
  <si>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</si>
  <si>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</si>
  <si>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</si>
  <si>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</si>
  <si>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</si>
  <si>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Al 31 de diciembre de 2018 y al 31 de diciembre de 2019 (b)</t>
  </si>
  <si>
    <t>Del 1 de enero al 31 de diciembre de 2019 (b)</t>
  </si>
  <si>
    <t>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</si>
</sst>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eSistemas/Downloads/angelica/angelica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3">
          <cell r="C3" t="str">
            <v>COMISION MUNICIPAL DE CULTURA FISICA Y DEPORTE DE LEON GUANAJUATO</v>
          </cell>
        </row>
      </sheetData>
      <sheetData sheetId="1">
        <row r="6">
          <cell r="C6" t="str">
            <v>COMISION MUNICIPAL DE CULTURA FISICA Y DEPORTE DE LEON GUANAJUATO, Gobierno del Estado de Guanajuato</v>
          </cell>
        </row>
        <row r="7">
          <cell r="C7" t="str">
            <v>COMISION MUNICIPAL DE CULTURA FISICA Y DEPORTE DE LEON GUANAJUATO, Gobierno del Estado de Guanajuato (a)</v>
          </cell>
        </row>
        <row r="8">
          <cell r="C8" t="str">
            <v>Guanajuato</v>
          </cell>
        </row>
        <row r="10">
          <cell r="C10" t="str">
            <v>León</v>
          </cell>
        </row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14">
          <cell r="C14" t="str">
            <v>Al 31 de diciembre de 2018 y al 31 de diciembre de 2019 (b)</v>
          </cell>
        </row>
        <row r="15">
          <cell r="C15">
            <v>4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</row>
        <row r="26">
          <cell r="B26"/>
          <cell r="C26"/>
          <cell r="D26"/>
          <cell r="E26"/>
          <cell r="F26"/>
          <cell r="G26"/>
          <cell r="H26"/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1">
          <cell r="B31"/>
          <cell r="C31"/>
          <cell r="D31"/>
          <cell r="E31"/>
          <cell r="F31"/>
          <cell r="G31"/>
          <cell r="H31"/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5">
          <cell r="B45"/>
          <cell r="C45"/>
          <cell r="D45"/>
          <cell r="E45"/>
          <cell r="F45"/>
        </row>
      </sheetData>
      <sheetData sheetId="6"/>
      <sheetData sheetId="7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3">
          <cell r="E13"/>
          <cell r="G13"/>
          <cell r="H13"/>
          <cell r="I13"/>
          <cell r="J13"/>
          <cell r="K13"/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9">
          <cell r="E19"/>
          <cell r="G19"/>
          <cell r="H19"/>
          <cell r="I19"/>
          <cell r="J19"/>
          <cell r="K19"/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>
            <v>81241178.999999985</v>
          </cell>
          <cell r="C9">
            <v>9819114.9599999972</v>
          </cell>
          <cell r="D9">
            <v>91060293.960000008</v>
          </cell>
          <cell r="E9">
            <v>58416207.929999992</v>
          </cell>
          <cell r="F9">
            <v>38156761.990000002</v>
          </cell>
          <cell r="G9">
            <v>32644086.029999997</v>
          </cell>
        </row>
        <row r="42">
          <cell r="B42">
            <v>0</v>
          </cell>
          <cell r="C42">
            <v>10128631.950000001</v>
          </cell>
          <cell r="D42">
            <v>23028631.950000003</v>
          </cell>
          <cell r="E42">
            <v>5616167.4500000002</v>
          </cell>
          <cell r="F42">
            <v>2888454.16</v>
          </cell>
          <cell r="G42">
            <v>2727713.29</v>
          </cell>
        </row>
        <row r="51">
          <cell r="B51">
            <v>81241178.999999985</v>
          </cell>
          <cell r="C51">
            <v>19947746.909999996</v>
          </cell>
          <cell r="D51">
            <v>114088925.91000001</v>
          </cell>
          <cell r="E51">
            <v>64032375.379999995</v>
          </cell>
          <cell r="F51">
            <v>41045216.150000006</v>
          </cell>
          <cell r="G51">
            <v>35371799.32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68" t="s">
        <v>821</v>
      </c>
      <c r="B1" s="169"/>
      <c r="C1" s="169"/>
      <c r="D1" s="169"/>
      <c r="E1" s="17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71" t="s">
        <v>3294</v>
      </c>
      <c r="D3" s="17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rintOptions horizontalCentered="1"/>
  <pageMargins left="0.70866141732283472" right="0.9055118110236221" top="2.3228346456692917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11" sqref="A1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2" t="s">
        <v>534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5"/>
    </row>
    <row r="3" spans="1:11" x14ac:dyDescent="0.25">
      <c r="A3" s="176" t="s">
        <v>166</v>
      </c>
      <c r="B3" s="177"/>
      <c r="C3" s="177"/>
      <c r="D3" s="178"/>
    </row>
    <row r="4" spans="1:11" x14ac:dyDescent="0.25">
      <c r="A4" s="179" t="str">
        <f>TRIMESTRE</f>
        <v>Del 1 de enero al 31 de diciembre de 2019 (b)</v>
      </c>
      <c r="B4" s="180"/>
      <c r="C4" s="180"/>
      <c r="D4" s="181"/>
    </row>
    <row r="5" spans="1:11" x14ac:dyDescent="0.25">
      <c r="A5" s="182" t="s">
        <v>118</v>
      </c>
      <c r="B5" s="183"/>
      <c r="C5" s="183"/>
      <c r="D5" s="18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81241179</v>
      </c>
      <c r="C8" s="40">
        <f>SUM(C9:C11)</f>
        <v>107957378</v>
      </c>
      <c r="D8" s="40">
        <f>SUM(D9:D11)</f>
        <v>107957378</v>
      </c>
    </row>
    <row r="9" spans="1:11" x14ac:dyDescent="0.25">
      <c r="A9" s="53" t="s">
        <v>169</v>
      </c>
      <c r="B9" s="23">
        <v>81241179</v>
      </c>
      <c r="C9" s="23">
        <v>107957378</v>
      </c>
      <c r="D9" s="23">
        <v>107957378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81241179</v>
      </c>
      <c r="C13" s="40">
        <f>C14+C15</f>
        <v>108007271.25</v>
      </c>
      <c r="D13" s="40">
        <f>D14+D15</f>
        <v>107547987.13</v>
      </c>
    </row>
    <row r="14" spans="1:11" x14ac:dyDescent="0.25">
      <c r="A14" s="53" t="s">
        <v>172</v>
      </c>
      <c r="B14" s="23">
        <v>81241179</v>
      </c>
      <c r="C14" s="23">
        <v>83585051.489999995</v>
      </c>
      <c r="D14" s="23">
        <v>83125766.420000002</v>
      </c>
    </row>
    <row r="15" spans="1:11" x14ac:dyDescent="0.25">
      <c r="A15" s="53" t="s">
        <v>173</v>
      </c>
      <c r="B15" s="23"/>
      <c r="C15" s="23">
        <v>24422219.760000002</v>
      </c>
      <c r="D15" s="23">
        <v>24422220.710000001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-49893.25</v>
      </c>
      <c r="D21" s="40">
        <f>D8-D13+D17</f>
        <v>409390.87000000477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-49893.25</v>
      </c>
      <c r="D23" s="40">
        <f>D21-D11</f>
        <v>409390.87000000477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-49893.25</v>
      </c>
      <c r="D25" s="40">
        <f>D23-D17</f>
        <v>409390.87000000477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-49893.25</v>
      </c>
      <c r="D33" s="61">
        <f>D25+D29</f>
        <v>409390.87000000477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81241179</v>
      </c>
      <c r="C48" s="124">
        <f>C9</f>
        <v>107957378</v>
      </c>
      <c r="D48" s="124">
        <f>D9</f>
        <v>107957378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81241179</v>
      </c>
      <c r="C53" s="60">
        <f>C14</f>
        <v>83585051.489999995</v>
      </c>
      <c r="D53" s="60">
        <f>D14</f>
        <v>83125766.420000002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24372326.510000005</v>
      </c>
      <c r="D57" s="61">
        <f>D48+D49-D53+D55</f>
        <v>24831611.579999998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24372326.510000005</v>
      </c>
      <c r="D59" s="61">
        <f>D57-D49</f>
        <v>24831611.579999998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24422219.760000002</v>
      </c>
      <c r="D68" s="23">
        <f>D15</f>
        <v>24422220.710000001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-24422219.760000002</v>
      </c>
      <c r="D72" s="40">
        <f>D63+D64-D68+D70</f>
        <v>-24422220.710000001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-24422219.760000002</v>
      </c>
      <c r="D74" s="40">
        <f>D72-D64</f>
        <v>-24422220.710000001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81241179</v>
      </c>
      <c r="Q2" s="18">
        <f>'Formato 4'!C8</f>
        <v>107957378</v>
      </c>
      <c r="R2" s="18">
        <f>'Formato 4'!D8</f>
        <v>107957378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81241179</v>
      </c>
      <c r="Q3" s="18">
        <f>'Formato 4'!C9</f>
        <v>107957378</v>
      </c>
      <c r="R3" s="18">
        <f>'Formato 4'!D9</f>
        <v>107957378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81241179</v>
      </c>
      <c r="Q6" s="18">
        <f>'Formato 4'!C13</f>
        <v>108007271.25</v>
      </c>
      <c r="R6" s="18">
        <f>'Formato 4'!D13</f>
        <v>107547987.13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81241179</v>
      </c>
      <c r="Q7" s="18">
        <f>'Formato 4'!C14</f>
        <v>83585051.489999995</v>
      </c>
      <c r="R7" s="18">
        <f>'Formato 4'!D14</f>
        <v>83125766.420000002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24422219.760000002</v>
      </c>
      <c r="R8" s="18">
        <f>'Formato 4'!D15</f>
        <v>24422220.710000001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-49893.25</v>
      </c>
      <c r="R12" s="18">
        <f>'Formato 4'!D21</f>
        <v>409390.87000000477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-49893.25</v>
      </c>
      <c r="R13" s="18">
        <f>'Formato 4'!D23</f>
        <v>409390.87000000477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-49893.25</v>
      </c>
      <c r="R14" s="18">
        <f>'Formato 4'!D25</f>
        <v>409390.87000000477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-49893.25</v>
      </c>
      <c r="R18">
        <f>'Formato 4'!D33</f>
        <v>409390.87000000477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81241179</v>
      </c>
      <c r="Q26">
        <f>'Formato 4'!C48</f>
        <v>107957378</v>
      </c>
      <c r="R26">
        <f>'Formato 4'!D48</f>
        <v>107957378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81241179</v>
      </c>
      <c r="Q30">
        <f>'Formato 4'!C53</f>
        <v>83585051.489999995</v>
      </c>
      <c r="R30">
        <f>'Formato 4'!D53</f>
        <v>83125766.420000002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24422219.760000002</v>
      </c>
      <c r="R36">
        <f>'Formato 4'!D68</f>
        <v>24422220.710000001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-24422219.760000002</v>
      </c>
      <c r="R38">
        <f>'Formato 4'!D72</f>
        <v>-24422220.710000001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-24422219.760000002</v>
      </c>
      <c r="R39">
        <f>'Formato 4'!D74</f>
        <v>-24422220.710000001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B76" sqref="B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90" t="s">
        <v>206</v>
      </c>
      <c r="B1" s="190"/>
      <c r="C1" s="190"/>
      <c r="D1" s="190"/>
      <c r="E1" s="190"/>
      <c r="F1" s="190"/>
      <c r="G1" s="190"/>
    </row>
    <row r="2" spans="1:8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4"/>
      <c r="G2" s="175"/>
    </row>
    <row r="3" spans="1:8" x14ac:dyDescent="0.25">
      <c r="A3" s="176" t="s">
        <v>207</v>
      </c>
      <c r="B3" s="177"/>
      <c r="C3" s="177"/>
      <c r="D3" s="177"/>
      <c r="E3" s="177"/>
      <c r="F3" s="177"/>
      <c r="G3" s="178"/>
    </row>
    <row r="4" spans="1:8" x14ac:dyDescent="0.25">
      <c r="A4" s="179" t="str">
        <f>TRIMESTRE</f>
        <v>Del 1 de enero al 31 de diciembre de 2019 (b)</v>
      </c>
      <c r="B4" s="180"/>
      <c r="C4" s="180"/>
      <c r="D4" s="180"/>
      <c r="E4" s="180"/>
      <c r="F4" s="180"/>
      <c r="G4" s="181"/>
    </row>
    <row r="5" spans="1:8" x14ac:dyDescent="0.25">
      <c r="A5" s="182" t="s">
        <v>118</v>
      </c>
      <c r="B5" s="183"/>
      <c r="C5" s="183"/>
      <c r="D5" s="183"/>
      <c r="E5" s="183"/>
      <c r="F5" s="183"/>
      <c r="G5" s="184"/>
    </row>
    <row r="6" spans="1:8" x14ac:dyDescent="0.25">
      <c r="A6" s="187" t="s">
        <v>214</v>
      </c>
      <c r="B6" s="189" t="s">
        <v>208</v>
      </c>
      <c r="C6" s="189"/>
      <c r="D6" s="189"/>
      <c r="E6" s="189"/>
      <c r="F6" s="189"/>
      <c r="G6" s="189" t="s">
        <v>209</v>
      </c>
    </row>
    <row r="7" spans="1:8" ht="30" x14ac:dyDescent="0.25">
      <c r="A7" s="18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/>
      <c r="G9" s="60"/>
      <c r="H9" s="8"/>
    </row>
    <row r="10" spans="1:8" x14ac:dyDescent="0.25">
      <c r="A10" s="53" t="s">
        <v>217</v>
      </c>
      <c r="B10" s="60"/>
      <c r="C10" s="60"/>
      <c r="D10" s="60"/>
      <c r="E10" s="60"/>
      <c r="F10" s="60"/>
      <c r="G10" s="60"/>
    </row>
    <row r="11" spans="1:8" x14ac:dyDescent="0.25">
      <c r="A11" s="53" t="s">
        <v>218</v>
      </c>
      <c r="B11" s="60"/>
      <c r="C11" s="60"/>
      <c r="D11" s="60"/>
      <c r="E11" s="60"/>
      <c r="F11" s="60"/>
      <c r="G11" s="60"/>
    </row>
    <row r="12" spans="1:8" x14ac:dyDescent="0.25">
      <c r="A12" s="53" t="s">
        <v>219</v>
      </c>
      <c r="B12" s="60"/>
      <c r="C12" s="60"/>
      <c r="D12" s="60"/>
      <c r="E12" s="60"/>
      <c r="F12" s="60"/>
      <c r="G12" s="60"/>
    </row>
    <row r="13" spans="1:8" x14ac:dyDescent="0.25">
      <c r="A13" s="53" t="s">
        <v>220</v>
      </c>
      <c r="B13" s="60">
        <v>100000</v>
      </c>
      <c r="C13" s="60">
        <v>0</v>
      </c>
      <c r="D13" s="60">
        <v>100000</v>
      </c>
      <c r="E13" s="60">
        <v>0</v>
      </c>
      <c r="F13" s="60">
        <v>0</v>
      </c>
      <c r="G13" s="60">
        <v>-100000</v>
      </c>
    </row>
    <row r="14" spans="1:8" x14ac:dyDescent="0.25">
      <c r="A14" s="53" t="s">
        <v>221</v>
      </c>
      <c r="B14" s="60"/>
      <c r="C14" s="60"/>
      <c r="D14" s="60"/>
      <c r="E14" s="60"/>
      <c r="F14" s="60"/>
      <c r="G14" s="60">
        <f>+F14-D14</f>
        <v>0</v>
      </c>
    </row>
    <row r="15" spans="1:8" x14ac:dyDescent="0.25">
      <c r="A15" s="53" t="s">
        <v>222</v>
      </c>
      <c r="B15" s="60">
        <v>61644921.789999999</v>
      </c>
      <c r="C15" s="60">
        <v>26171.67</v>
      </c>
      <c r="D15" s="60">
        <f>+B15+C15</f>
        <v>61671093.460000001</v>
      </c>
      <c r="E15" s="60">
        <v>61222100.030000001</v>
      </c>
      <c r="F15" s="60">
        <v>61222100.030000001</v>
      </c>
      <c r="G15" s="60">
        <f>+F15-B15</f>
        <v>-422821.75999999791</v>
      </c>
    </row>
    <row r="16" spans="1:8" x14ac:dyDescent="0.25">
      <c r="A16" s="10" t="s">
        <v>275</v>
      </c>
      <c r="B16" s="60">
        <f t="shared" ref="B16:G16" si="0">SUM(B17:B27)</f>
        <v>864000</v>
      </c>
      <c r="C16" s="60">
        <f t="shared" si="0"/>
        <v>0</v>
      </c>
      <c r="D16" s="60">
        <f t="shared" si="0"/>
        <v>864000</v>
      </c>
      <c r="E16" s="60">
        <f t="shared" si="0"/>
        <v>0</v>
      </c>
      <c r="F16" s="60">
        <f t="shared" si="0"/>
        <v>0</v>
      </c>
      <c r="G16" s="60">
        <f t="shared" si="0"/>
        <v>-864000</v>
      </c>
    </row>
    <row r="17" spans="1:7" x14ac:dyDescent="0.25">
      <c r="A17" s="63" t="s">
        <v>223</v>
      </c>
      <c r="B17" s="60">
        <v>864000</v>
      </c>
      <c r="C17" s="60">
        <v>0</v>
      </c>
      <c r="D17" s="60">
        <v>864000</v>
      </c>
      <c r="E17" s="60">
        <v>0</v>
      </c>
      <c r="F17" s="60">
        <v>0</v>
      </c>
      <c r="G17" s="60">
        <v>-864000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x14ac:dyDescent="0.2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 t="shared" ref="B28:G28" si="1">SUM(B29:B33)</f>
        <v>0</v>
      </c>
      <c r="C28" s="60">
        <f t="shared" si="1"/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18632257.199999999</v>
      </c>
      <c r="C34" s="60">
        <v>29333026.73</v>
      </c>
      <c r="D34" s="60">
        <f>+B34+C34</f>
        <v>47965283.93</v>
      </c>
      <c r="E34" s="60">
        <v>46735277.979999997</v>
      </c>
      <c r="F34" s="60">
        <v>46735277.979999997</v>
      </c>
      <c r="G34" s="60">
        <f>+F34-B34</f>
        <v>28103020.779999997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 t="shared" ref="B37:G37" si="2">B38+B39</f>
        <v>0</v>
      </c>
      <c r="C37" s="60">
        <f t="shared" si="2"/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3">SUM(B9,B10,B11,B12,B13,B14,B15,B16,B28,B34,B35,B37)</f>
        <v>81241178.989999995</v>
      </c>
      <c r="C41" s="61">
        <f t="shared" si="3"/>
        <v>29359198.400000002</v>
      </c>
      <c r="D41" s="61">
        <f t="shared" si="3"/>
        <v>110600377.39</v>
      </c>
      <c r="E41" s="61">
        <f t="shared" si="3"/>
        <v>107957378.00999999</v>
      </c>
      <c r="F41" s="61">
        <f t="shared" si="3"/>
        <v>107957378.00999999</v>
      </c>
      <c r="G41" s="61">
        <f t="shared" si="3"/>
        <v>26716199.02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26716199.02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4">SUM(B46:B53)</f>
        <v>0</v>
      </c>
      <c r="C45" s="60">
        <f t="shared" si="4"/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 t="shared" ref="B54:G54" si="5">SUM(B55:B58)</f>
        <v>0</v>
      </c>
      <c r="C54" s="60">
        <f t="shared" si="5"/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 t="shared" ref="B59:G59" si="6">SUM(B60:B61)</f>
        <v>0</v>
      </c>
      <c r="C59" s="60">
        <f t="shared" si="6"/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7">B45+B54+B59+B62+B63</f>
        <v>0</v>
      </c>
      <c r="C65" s="61">
        <f t="shared" si="7"/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8">B68</f>
        <v>0</v>
      </c>
      <c r="C67" s="61">
        <f t="shared" si="8"/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9">B41+B65+B67</f>
        <v>81241178.989999995</v>
      </c>
      <c r="C70" s="61">
        <f t="shared" si="9"/>
        <v>29359198.400000002</v>
      </c>
      <c r="D70" s="61">
        <f t="shared" si="9"/>
        <v>110600377.39</v>
      </c>
      <c r="E70" s="61">
        <f t="shared" si="9"/>
        <v>107957378.00999999</v>
      </c>
      <c r="F70" s="61">
        <f t="shared" si="9"/>
        <v>107957378.00999999</v>
      </c>
      <c r="G70" s="61">
        <f t="shared" si="9"/>
        <v>26716199.02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 t="shared" ref="B75:G75" si="10">B73+B74</f>
        <v>0</v>
      </c>
      <c r="C75" s="61">
        <f t="shared" si="10"/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 verticalCentered="1"/>
  <pageMargins left="0.11811023622047245" right="0" top="0.35433070866141736" bottom="0.35433070866141736" header="0.31496062992125984" footer="0.31496062992125984"/>
  <pageSetup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100000</v>
      </c>
      <c r="Q7" s="18">
        <f>'Formato 5'!C13</f>
        <v>0</v>
      </c>
      <c r="R7" s="18">
        <f>'Formato 5'!D13</f>
        <v>100000</v>
      </c>
      <c r="S7" s="18">
        <f>'Formato 5'!E13</f>
        <v>0</v>
      </c>
      <c r="T7" s="18">
        <f>'Formato 5'!F13</f>
        <v>0</v>
      </c>
      <c r="U7" s="18">
        <f>'Formato 5'!G13</f>
        <v>-100000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61644921.789999999</v>
      </c>
      <c r="Q9" s="18">
        <f>'Formato 5'!C15</f>
        <v>26171.67</v>
      </c>
      <c r="R9" s="18">
        <f>'Formato 5'!D15</f>
        <v>61671093.460000001</v>
      </c>
      <c r="S9" s="18">
        <f>'Formato 5'!E15</f>
        <v>61222100.030000001</v>
      </c>
      <c r="T9" s="18">
        <f>'Formato 5'!F15</f>
        <v>61222100.030000001</v>
      </c>
      <c r="U9" s="18">
        <f>'Formato 5'!G15</f>
        <v>-422821.75999999791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864000</v>
      </c>
      <c r="Q10" s="18">
        <f>'Formato 5'!C16</f>
        <v>0</v>
      </c>
      <c r="R10" s="18">
        <f>'Formato 5'!D16</f>
        <v>864000</v>
      </c>
      <c r="S10" s="18">
        <f>'Formato 5'!E16</f>
        <v>0</v>
      </c>
      <c r="T10" s="18">
        <f>'Formato 5'!F16</f>
        <v>0</v>
      </c>
      <c r="U10" s="18">
        <f>'Formato 5'!G16</f>
        <v>-864000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864000</v>
      </c>
      <c r="Q11" s="18">
        <f>'Formato 5'!C17</f>
        <v>0</v>
      </c>
      <c r="R11" s="18">
        <f>'Formato 5'!D17</f>
        <v>864000</v>
      </c>
      <c r="S11" s="18">
        <f>'Formato 5'!E17</f>
        <v>0</v>
      </c>
      <c r="T11" s="18">
        <f>'Formato 5'!F17</f>
        <v>0</v>
      </c>
      <c r="U11" s="18">
        <f>'Formato 5'!G17</f>
        <v>-864000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18632257.199999999</v>
      </c>
      <c r="Q28" s="18">
        <f>'Formato 5'!C34</f>
        <v>29333026.73</v>
      </c>
      <c r="R28" s="18">
        <f>'Formato 5'!D34</f>
        <v>47965283.93</v>
      </c>
      <c r="S28" s="18">
        <f>'Formato 5'!E34</f>
        <v>46735277.979999997</v>
      </c>
      <c r="T28" s="18">
        <f>'Formato 5'!F34</f>
        <v>46735277.979999997</v>
      </c>
      <c r="U28" s="18">
        <f>'Formato 5'!G34</f>
        <v>28103020.779999997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81241178.989999995</v>
      </c>
      <c r="Q34">
        <f>'Formato 5'!C41</f>
        <v>29359198.400000002</v>
      </c>
      <c r="R34">
        <f>'Formato 5'!D41</f>
        <v>110600377.39</v>
      </c>
      <c r="S34">
        <f>'Formato 5'!E41</f>
        <v>107957378.00999999</v>
      </c>
      <c r="T34">
        <f>'Formato 5'!F41</f>
        <v>107957378.00999999</v>
      </c>
      <c r="U34">
        <f>'Formato 5'!G41</f>
        <v>26716199.02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26716199.02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95" zoomScaleNormal="95" zoomScalePageLayoutView="90" workbookViewId="0">
      <pane xSplit="1" ySplit="9" topLeftCell="B140" activePane="bottomRight" state="frozen"/>
      <selection pane="topRight" activeCell="B1" sqref="B1"/>
      <selection pane="bottomLeft" activeCell="A10" sqref="A10"/>
      <selection pane="bottomRight" activeCell="A140" sqref="A14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91" t="s">
        <v>3277</v>
      </c>
      <c r="B1" s="190"/>
      <c r="C1" s="190"/>
      <c r="D1" s="190"/>
      <c r="E1" s="190"/>
      <c r="F1" s="190"/>
      <c r="G1" s="190"/>
    </row>
    <row r="2" spans="1:7" x14ac:dyDescent="0.25">
      <c r="A2" s="194" t="str">
        <f>ENTE_PUBLICO_A</f>
        <v>COMISION MUNICIPAL DE CULTURA FISICA Y DEPORTE DE LEON GUANAJUATO, Gobierno del Estado de Guanajuato (a)</v>
      </c>
      <c r="B2" s="194"/>
      <c r="C2" s="194"/>
      <c r="D2" s="194"/>
      <c r="E2" s="194"/>
      <c r="F2" s="194"/>
      <c r="G2" s="194"/>
    </row>
    <row r="3" spans="1:7" x14ac:dyDescent="0.25">
      <c r="A3" s="195" t="s">
        <v>277</v>
      </c>
      <c r="B3" s="195"/>
      <c r="C3" s="195"/>
      <c r="D3" s="195"/>
      <c r="E3" s="195"/>
      <c r="F3" s="195"/>
      <c r="G3" s="195"/>
    </row>
    <row r="4" spans="1:7" x14ac:dyDescent="0.25">
      <c r="A4" s="195" t="s">
        <v>278</v>
      </c>
      <c r="B4" s="195"/>
      <c r="C4" s="195"/>
      <c r="D4" s="195"/>
      <c r="E4" s="195"/>
      <c r="F4" s="195"/>
      <c r="G4" s="195"/>
    </row>
    <row r="5" spans="1:7" x14ac:dyDescent="0.25">
      <c r="A5" s="196" t="str">
        <f>TRIMESTRE</f>
        <v>Del 1 de enero al 31 de diciembre de 2019 (b)</v>
      </c>
      <c r="B5" s="196"/>
      <c r="C5" s="196"/>
      <c r="D5" s="196"/>
      <c r="E5" s="196"/>
      <c r="F5" s="196"/>
      <c r="G5" s="196"/>
    </row>
    <row r="6" spans="1:7" x14ac:dyDescent="0.25">
      <c r="A6" s="188" t="s">
        <v>118</v>
      </c>
      <c r="B6" s="188"/>
      <c r="C6" s="188"/>
      <c r="D6" s="188"/>
      <c r="E6" s="188"/>
      <c r="F6" s="188"/>
      <c r="G6" s="188"/>
    </row>
    <row r="7" spans="1:7" ht="15" customHeight="1" x14ac:dyDescent="0.25">
      <c r="A7" s="192" t="s">
        <v>0</v>
      </c>
      <c r="B7" s="192" t="s">
        <v>279</v>
      </c>
      <c r="C7" s="192"/>
      <c r="D7" s="192"/>
      <c r="E7" s="192"/>
      <c r="F7" s="192"/>
      <c r="G7" s="193" t="s">
        <v>280</v>
      </c>
    </row>
    <row r="8" spans="1:7" ht="30" x14ac:dyDescent="0.25">
      <c r="A8" s="19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92"/>
    </row>
    <row r="9" spans="1:7" x14ac:dyDescent="0.25">
      <c r="A9" s="82" t="s">
        <v>285</v>
      </c>
      <c r="B9" s="79">
        <f t="shared" ref="B9:G9" si="0">SUM(B10,B18,B28,B38,B48,B58,B62,B71,B75)</f>
        <v>81241179</v>
      </c>
      <c r="C9" s="79">
        <f t="shared" si="0"/>
        <v>4936927.6700000009</v>
      </c>
      <c r="D9" s="79">
        <f t="shared" si="0"/>
        <v>86178106.670000002</v>
      </c>
      <c r="E9" s="79">
        <f t="shared" si="0"/>
        <v>83585051.329999998</v>
      </c>
      <c r="F9" s="79">
        <f t="shared" si="0"/>
        <v>83125768.200000003</v>
      </c>
      <c r="G9" s="79">
        <f t="shared" si="0"/>
        <v>2593055.3399999994</v>
      </c>
    </row>
    <row r="10" spans="1:7" x14ac:dyDescent="0.25">
      <c r="A10" s="83" t="s">
        <v>286</v>
      </c>
      <c r="B10" s="80">
        <v>56841147.32</v>
      </c>
      <c r="C10" s="80">
        <f>+C11+C12+C13+C14+C15+C16+C17</f>
        <v>-4458700.87</v>
      </c>
      <c r="D10" s="80">
        <f t="shared" ref="D10" si="1">+D11+D12+D13+D14+D15+D16+D17</f>
        <v>52382446.449999996</v>
      </c>
      <c r="E10" s="80">
        <f>+E11+E12+E13+E14+E15+E16+E17</f>
        <v>51999434.079999998</v>
      </c>
      <c r="F10" s="80">
        <f>+F11+F12+F13+F14+F15+F16+F17</f>
        <v>51999434.079999998</v>
      </c>
      <c r="G10" s="80">
        <f>+G11+G12+G13+G14+G15+G16+G17</f>
        <v>383012.37000000011</v>
      </c>
    </row>
    <row r="11" spans="1:7" x14ac:dyDescent="0.25">
      <c r="A11" s="84" t="s">
        <v>287</v>
      </c>
      <c r="B11" s="80">
        <v>16757953</v>
      </c>
      <c r="C11" s="80">
        <v>-1624180.57</v>
      </c>
      <c r="D11" s="24">
        <f>+B11+C11</f>
        <v>15133772.43</v>
      </c>
      <c r="E11" s="24">
        <f>15069268.84-E86</f>
        <v>15069268.84</v>
      </c>
      <c r="F11" s="24">
        <f>15069268.84-F86</f>
        <v>15069268.84</v>
      </c>
      <c r="G11" s="24">
        <f>+D11-E11</f>
        <v>64503.589999999851</v>
      </c>
    </row>
    <row r="12" spans="1:7" x14ac:dyDescent="0.25">
      <c r="A12" s="84" t="s">
        <v>288</v>
      </c>
      <c r="B12" s="80">
        <v>16189046</v>
      </c>
      <c r="C12" s="80">
        <f>845934.95-C87</f>
        <v>532890.97</v>
      </c>
      <c r="D12" s="24">
        <f t="shared" ref="D12:D57" si="2">+B12+C12</f>
        <v>16721936.970000001</v>
      </c>
      <c r="E12" s="24">
        <f>16867936.43-E87</f>
        <v>16554892.449999999</v>
      </c>
      <c r="F12" s="24">
        <f>16867936.43-F87</f>
        <v>16554892.449999999</v>
      </c>
      <c r="G12" s="24">
        <f t="shared" ref="G12:G57" si="3">+D12-E12</f>
        <v>167044.52000000142</v>
      </c>
    </row>
    <row r="13" spans="1:7" x14ac:dyDescent="0.25">
      <c r="A13" s="84" t="s">
        <v>289</v>
      </c>
      <c r="B13" s="80">
        <v>4148165</v>
      </c>
      <c r="C13" s="80">
        <f>-659169.07-C88</f>
        <v>-659169.06999999995</v>
      </c>
      <c r="D13" s="24">
        <f t="shared" si="2"/>
        <v>3488995.93</v>
      </c>
      <c r="E13" s="24">
        <f>3456426.72-E88</f>
        <v>3456426.72</v>
      </c>
      <c r="F13" s="24">
        <f>3456426.72-F88</f>
        <v>3456426.72</v>
      </c>
      <c r="G13" s="24">
        <f t="shared" si="3"/>
        <v>32569.209999999963</v>
      </c>
    </row>
    <row r="14" spans="1:7" x14ac:dyDescent="0.25">
      <c r="A14" s="84" t="s">
        <v>290</v>
      </c>
      <c r="B14" s="80">
        <v>6425277</v>
      </c>
      <c r="C14" s="80">
        <f>-1292541.23+C89</f>
        <v>-1292541.23</v>
      </c>
      <c r="D14" s="24">
        <f t="shared" si="2"/>
        <v>5132735.7699999996</v>
      </c>
      <c r="E14" s="24">
        <f>5095914.35-E89</f>
        <v>5095914.3499999996</v>
      </c>
      <c r="F14" s="24">
        <f>5095914.35-F89</f>
        <v>5095914.3499999996</v>
      </c>
      <c r="G14" s="24">
        <f t="shared" si="3"/>
        <v>36821.419999999925</v>
      </c>
    </row>
    <row r="15" spans="1:7" x14ac:dyDescent="0.25">
      <c r="A15" s="84" t="s">
        <v>291</v>
      </c>
      <c r="B15" s="80">
        <v>12731266.32</v>
      </c>
      <c r="C15" s="80">
        <f>-1203220.97+C90</f>
        <v>-1203220.97</v>
      </c>
      <c r="D15" s="24">
        <f t="shared" si="2"/>
        <v>11528045.35</v>
      </c>
      <c r="E15" s="24">
        <f>11446131.72-E90</f>
        <v>11446131.720000001</v>
      </c>
      <c r="F15" s="24">
        <f>11446131.72-F90</f>
        <v>11446131.720000001</v>
      </c>
      <c r="G15" s="24">
        <f t="shared" si="3"/>
        <v>81913.629999998957</v>
      </c>
    </row>
    <row r="16" spans="1:7" x14ac:dyDescent="0.25">
      <c r="A16" s="84" t="s">
        <v>292</v>
      </c>
      <c r="B16" s="80">
        <v>0</v>
      </c>
      <c r="C16" s="80">
        <f>0+C91</f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</row>
    <row r="17" spans="1:7" x14ac:dyDescent="0.25">
      <c r="A17" s="84" t="s">
        <v>293</v>
      </c>
      <c r="B17" s="80">
        <v>589440</v>
      </c>
      <c r="C17" s="80">
        <v>-212480</v>
      </c>
      <c r="D17" s="24">
        <f t="shared" si="2"/>
        <v>376960</v>
      </c>
      <c r="E17" s="24">
        <f>376800-E92</f>
        <v>376800</v>
      </c>
      <c r="F17" s="24">
        <f>376800-F92</f>
        <v>376800</v>
      </c>
      <c r="G17" s="24">
        <f t="shared" si="3"/>
        <v>160</v>
      </c>
    </row>
    <row r="18" spans="1:7" x14ac:dyDescent="0.25">
      <c r="A18" s="83" t="s">
        <v>294</v>
      </c>
      <c r="B18" s="80">
        <v>5678830.0599999996</v>
      </c>
      <c r="C18" s="80">
        <f>+C19+C20+C21+C22+C23+C24+C25+C26+C27</f>
        <v>1661750.9800000002</v>
      </c>
      <c r="D18" s="80">
        <f>+D19+D20+D21+D22+D23+D24+D25+D26+D27</f>
        <v>7340581.040000001</v>
      </c>
      <c r="E18" s="80">
        <f>+E19+E20+E21+E22+E23+E24+E25+E26+E27</f>
        <v>6198387.7100000009</v>
      </c>
      <c r="F18" s="80">
        <f>+F19+F20+F21+F22+F23+F24+F25+F26+F27</f>
        <v>6155644.5</v>
      </c>
      <c r="G18" s="80">
        <f t="shared" si="3"/>
        <v>1142193.33</v>
      </c>
    </row>
    <row r="19" spans="1:7" x14ac:dyDescent="0.25">
      <c r="A19" s="84" t="s">
        <v>295</v>
      </c>
      <c r="B19" s="80">
        <v>667424.06000000006</v>
      </c>
      <c r="C19" s="80">
        <f>-80474.46-C94</f>
        <v>-95353.62000000001</v>
      </c>
      <c r="D19" s="80">
        <f t="shared" si="2"/>
        <v>572070.44000000006</v>
      </c>
      <c r="E19" s="80">
        <f>471931.53-E94</f>
        <v>457052.37000000005</v>
      </c>
      <c r="F19" s="80">
        <f>465530.21-F94</f>
        <v>450651.05000000005</v>
      </c>
      <c r="G19" s="80">
        <f t="shared" si="3"/>
        <v>115018.07</v>
      </c>
    </row>
    <row r="20" spans="1:7" x14ac:dyDescent="0.25">
      <c r="A20" s="84" t="s">
        <v>296</v>
      </c>
      <c r="B20" s="80">
        <v>91550</v>
      </c>
      <c r="C20" s="80">
        <f>76324.05-C95</f>
        <v>75174.05</v>
      </c>
      <c r="D20" s="80">
        <f t="shared" si="2"/>
        <v>166724.04999999999</v>
      </c>
      <c r="E20" s="80">
        <f>146912.16-E95</f>
        <v>145762.16</v>
      </c>
      <c r="F20" s="80">
        <f>146655.41-F95</f>
        <v>145505.41</v>
      </c>
      <c r="G20" s="80">
        <f t="shared" si="3"/>
        <v>20961.889999999985</v>
      </c>
    </row>
    <row r="21" spans="1:7" x14ac:dyDescent="0.25">
      <c r="A21" s="84" t="s">
        <v>297</v>
      </c>
      <c r="B21" s="80">
        <v>0</v>
      </c>
      <c r="C21" s="80">
        <f>0-C96</f>
        <v>0</v>
      </c>
      <c r="D21" s="80">
        <f t="shared" si="2"/>
        <v>0</v>
      </c>
      <c r="E21" s="80">
        <v>0</v>
      </c>
      <c r="F21" s="80">
        <v>0</v>
      </c>
      <c r="G21" s="80">
        <f t="shared" si="3"/>
        <v>0</v>
      </c>
    </row>
    <row r="22" spans="1:7" x14ac:dyDescent="0.25">
      <c r="A22" s="84" t="s">
        <v>298</v>
      </c>
      <c r="B22" s="80">
        <v>1040379</v>
      </c>
      <c r="C22" s="80">
        <f>958093.97-C97</f>
        <v>379648.45999999996</v>
      </c>
      <c r="D22" s="80">
        <f t="shared" si="2"/>
        <v>1420027.46</v>
      </c>
      <c r="E22" s="80">
        <f>1579622.68-E97</f>
        <v>1001177.1699999999</v>
      </c>
      <c r="F22" s="80">
        <f>1565909.77-F97</f>
        <v>987464.26</v>
      </c>
      <c r="G22" s="80">
        <f t="shared" si="3"/>
        <v>418850.29000000004</v>
      </c>
    </row>
    <row r="23" spans="1:7" x14ac:dyDescent="0.25">
      <c r="A23" s="84" t="s">
        <v>299</v>
      </c>
      <c r="B23" s="80">
        <v>1358050</v>
      </c>
      <c r="C23" s="80">
        <f>-136710.54-C98</f>
        <v>-162644.08000000002</v>
      </c>
      <c r="D23" s="80">
        <f t="shared" si="2"/>
        <v>1195405.92</v>
      </c>
      <c r="E23" s="80">
        <f>1108339.7-E98</f>
        <v>1082406.1599999999</v>
      </c>
      <c r="F23" s="80">
        <f>1108252.7-F98</f>
        <v>1082319.1599999999</v>
      </c>
      <c r="G23" s="80">
        <f t="shared" si="3"/>
        <v>112999.76000000001</v>
      </c>
    </row>
    <row r="24" spans="1:7" x14ac:dyDescent="0.25">
      <c r="A24" s="84" t="s">
        <v>300</v>
      </c>
      <c r="B24" s="80">
        <v>620011</v>
      </c>
      <c r="C24" s="80">
        <f>-91681.59-C99</f>
        <v>-92681.59</v>
      </c>
      <c r="D24" s="80">
        <f t="shared" si="2"/>
        <v>527329.41</v>
      </c>
      <c r="E24" s="80">
        <f>441694.08-E99</f>
        <v>440694.08</v>
      </c>
      <c r="F24" s="80">
        <f>440058.57-F99</f>
        <v>439058.57</v>
      </c>
      <c r="G24" s="80">
        <f t="shared" si="3"/>
        <v>86635.330000000016</v>
      </c>
    </row>
    <row r="25" spans="1:7" x14ac:dyDescent="0.25">
      <c r="A25" s="84" t="s">
        <v>301</v>
      </c>
      <c r="B25" s="80">
        <v>1439882</v>
      </c>
      <c r="C25" s="80">
        <f>3893150.45-C100</f>
        <v>1515963.8200000003</v>
      </c>
      <c r="D25" s="80">
        <f t="shared" si="2"/>
        <v>2955845.8200000003</v>
      </c>
      <c r="E25" s="80">
        <f>5040767.19-E100</f>
        <v>2663631.5300000007</v>
      </c>
      <c r="F25" s="80">
        <f>5028619.07-F100</f>
        <v>2651483.4100000006</v>
      </c>
      <c r="G25" s="80">
        <f t="shared" si="3"/>
        <v>292214.28999999957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2"/>
        <v>0</v>
      </c>
      <c r="E26" s="80">
        <v>0</v>
      </c>
      <c r="F26" s="80">
        <v>0</v>
      </c>
      <c r="G26" s="80">
        <f t="shared" si="3"/>
        <v>0</v>
      </c>
    </row>
    <row r="27" spans="1:7" x14ac:dyDescent="0.25">
      <c r="A27" s="84" t="s">
        <v>303</v>
      </c>
      <c r="B27" s="80">
        <v>461534</v>
      </c>
      <c r="C27" s="80">
        <f>99761.18-C102</f>
        <v>41643.939999999995</v>
      </c>
      <c r="D27" s="80">
        <f t="shared" si="2"/>
        <v>503177.94</v>
      </c>
      <c r="E27" s="80">
        <f>465781.48-E102</f>
        <v>407664.24</v>
      </c>
      <c r="F27" s="80">
        <f>457279.88-F102</f>
        <v>399162.64</v>
      </c>
      <c r="G27" s="80">
        <f t="shared" si="3"/>
        <v>95513.700000000012</v>
      </c>
    </row>
    <row r="28" spans="1:7" x14ac:dyDescent="0.25">
      <c r="A28" s="83" t="s">
        <v>304</v>
      </c>
      <c r="B28" s="80">
        <v>18089199.620000001</v>
      </c>
      <c r="C28" s="80">
        <f>+C29+C30+C31+C32+C33+C34+C35+C36+C37</f>
        <v>178183.99000000011</v>
      </c>
      <c r="D28" s="80">
        <f t="shared" ref="D28:G28" si="4">+D29+D30+D31+D32+D33+D34+D35+D36+D37</f>
        <v>18267383.609999999</v>
      </c>
      <c r="E28" s="80">
        <f t="shared" si="4"/>
        <v>17264372.969999999</v>
      </c>
      <c r="F28" s="80">
        <f t="shared" si="4"/>
        <v>16855633.060000002</v>
      </c>
      <c r="G28" s="80">
        <f t="shared" si="4"/>
        <v>1003010.6400000009</v>
      </c>
    </row>
    <row r="29" spans="1:7" x14ac:dyDescent="0.25">
      <c r="A29" s="84" t="s">
        <v>305</v>
      </c>
      <c r="B29" s="80">
        <v>9034620</v>
      </c>
      <c r="C29" s="80">
        <f>-1388829.67+C104</f>
        <v>-1388829.67</v>
      </c>
      <c r="D29" s="80">
        <f t="shared" si="2"/>
        <v>7645790.3300000001</v>
      </c>
      <c r="E29" s="80">
        <f>7420869.72-E104</f>
        <v>7420869.7199999997</v>
      </c>
      <c r="F29" s="80">
        <f>7196734.19-F104</f>
        <v>7196734.1900000004</v>
      </c>
      <c r="G29" s="80">
        <f t="shared" si="3"/>
        <v>224920.61000000034</v>
      </c>
    </row>
    <row r="30" spans="1:7" x14ac:dyDescent="0.25">
      <c r="A30" s="84" t="s">
        <v>306</v>
      </c>
      <c r="B30" s="80">
        <v>346422.08</v>
      </c>
      <c r="C30" s="80">
        <f>733201.83-C105</f>
        <v>613778.78999999992</v>
      </c>
      <c r="D30" s="80">
        <f t="shared" si="2"/>
        <v>960200.86999999988</v>
      </c>
      <c r="E30" s="80">
        <f>956152.78-E105</f>
        <v>836729.74</v>
      </c>
      <c r="F30" s="80">
        <f>956152.78-F105</f>
        <v>836729.74</v>
      </c>
      <c r="G30" s="80">
        <f t="shared" si="3"/>
        <v>123471.12999999989</v>
      </c>
    </row>
    <row r="31" spans="1:7" x14ac:dyDescent="0.25">
      <c r="A31" s="84" t="s">
        <v>307</v>
      </c>
      <c r="B31" s="80">
        <v>4641192</v>
      </c>
      <c r="C31" s="80">
        <f>420105.03-C106</f>
        <v>-125402.16999999993</v>
      </c>
      <c r="D31" s="80">
        <f t="shared" si="2"/>
        <v>4515789.83</v>
      </c>
      <c r="E31" s="80">
        <f>4924135.43-E106</f>
        <v>4378628.2299999995</v>
      </c>
      <c r="F31" s="80">
        <f>4903252.24-F106</f>
        <v>4357745.04</v>
      </c>
      <c r="G31" s="80">
        <f t="shared" si="3"/>
        <v>137161.60000000056</v>
      </c>
    </row>
    <row r="32" spans="1:7" x14ac:dyDescent="0.25">
      <c r="A32" s="84" t="s">
        <v>308</v>
      </c>
      <c r="B32" s="80">
        <v>576176</v>
      </c>
      <c r="C32" s="80">
        <f>15252.08-C107</f>
        <v>-19506.939999999995</v>
      </c>
      <c r="D32" s="80">
        <f t="shared" si="2"/>
        <v>556669.06000000006</v>
      </c>
      <c r="E32" s="80">
        <f>547136.25-E107</f>
        <v>512377.23</v>
      </c>
      <c r="F32" s="80">
        <f>520168.67-F107</f>
        <v>485409.64999999997</v>
      </c>
      <c r="G32" s="80">
        <f t="shared" si="3"/>
        <v>44291.830000000075</v>
      </c>
    </row>
    <row r="33" spans="1:7" x14ac:dyDescent="0.25">
      <c r="A33" s="84" t="s">
        <v>309</v>
      </c>
      <c r="B33" s="80">
        <v>589878</v>
      </c>
      <c r="C33" s="80">
        <f>909960.77-C108</f>
        <v>362987.45999999996</v>
      </c>
      <c r="D33" s="80">
        <f t="shared" si="2"/>
        <v>952865.46</v>
      </c>
      <c r="E33" s="80">
        <f>1196906.69-E108</f>
        <v>649933.37999999989</v>
      </c>
      <c r="F33" s="80">
        <f>1109799.68-F108</f>
        <v>562826.36999999988</v>
      </c>
      <c r="G33" s="80">
        <f t="shared" si="3"/>
        <v>302932.08000000007</v>
      </c>
    </row>
    <row r="34" spans="1:7" x14ac:dyDescent="0.25">
      <c r="A34" s="84" t="s">
        <v>310</v>
      </c>
      <c r="B34" s="80">
        <v>1315840.3999999999</v>
      </c>
      <c r="C34" s="80">
        <f>825586.86-C109</f>
        <v>819285.77</v>
      </c>
      <c r="D34" s="80">
        <f t="shared" si="2"/>
        <v>2135126.17</v>
      </c>
      <c r="E34" s="80">
        <f>2077331.27-E109</f>
        <v>2071030.18</v>
      </c>
      <c r="F34" s="80">
        <f>2036228.54-F109</f>
        <v>2029927.45</v>
      </c>
      <c r="G34" s="80">
        <f t="shared" si="3"/>
        <v>64095.989999999991</v>
      </c>
    </row>
    <row r="35" spans="1:7" x14ac:dyDescent="0.25">
      <c r="A35" s="84" t="s">
        <v>311</v>
      </c>
      <c r="B35" s="80">
        <v>411309</v>
      </c>
      <c r="C35" s="80">
        <f>69.53-C110</f>
        <v>-133600.5</v>
      </c>
      <c r="D35" s="80">
        <f t="shared" si="2"/>
        <v>277708.5</v>
      </c>
      <c r="E35" s="80">
        <f>338398.89-E110</f>
        <v>204728.86000000002</v>
      </c>
      <c r="F35" s="80">
        <f>334520.27-F110</f>
        <v>200850.24000000002</v>
      </c>
      <c r="G35" s="80">
        <f t="shared" si="3"/>
        <v>72979.639999999985</v>
      </c>
    </row>
    <row r="36" spans="1:7" x14ac:dyDescent="0.25">
      <c r="A36" s="84" t="s">
        <v>312</v>
      </c>
      <c r="B36" s="80">
        <v>189400</v>
      </c>
      <c r="C36" s="80">
        <f>24605.93-C111</f>
        <v>4796.260000000002</v>
      </c>
      <c r="D36" s="80">
        <f t="shared" si="2"/>
        <v>194196.26</v>
      </c>
      <c r="E36" s="80">
        <f>204964.8-E111</f>
        <v>185155.13</v>
      </c>
      <c r="F36" s="80">
        <f>200814.55-F111</f>
        <v>181004.88</v>
      </c>
      <c r="G36" s="80">
        <f t="shared" si="3"/>
        <v>9041.1300000000047</v>
      </c>
    </row>
    <row r="37" spans="1:7" x14ac:dyDescent="0.25">
      <c r="A37" s="84" t="s">
        <v>313</v>
      </c>
      <c r="B37" s="80">
        <v>984362.14</v>
      </c>
      <c r="C37" s="80">
        <f>51875.01-C112</f>
        <v>44674.990000000005</v>
      </c>
      <c r="D37" s="80">
        <f t="shared" si="2"/>
        <v>1029037.13</v>
      </c>
      <c r="E37" s="80">
        <f>1012120.52-E112</f>
        <v>1004920.5</v>
      </c>
      <c r="F37" s="80">
        <f>1011605.52-F112</f>
        <v>1004405.5</v>
      </c>
      <c r="G37" s="80">
        <f t="shared" si="3"/>
        <v>24116.630000000005</v>
      </c>
    </row>
    <row r="38" spans="1:7" x14ac:dyDescent="0.25">
      <c r="A38" s="83" t="s">
        <v>314</v>
      </c>
      <c r="B38" s="80">
        <v>420000</v>
      </c>
      <c r="C38" s="80">
        <f>+C39+C40+C41+C42+C43+C44+C45+C46+C47</f>
        <v>385999.6799999997</v>
      </c>
      <c r="D38" s="80">
        <f>+D39+D40+D41+D42+D43+D44+D45+D46+D47</f>
        <v>805999.6799999997</v>
      </c>
      <c r="E38" s="80">
        <f>+E39+E40+E41+E42+E43+E44+E45+E46+E47</f>
        <v>777692.76000000164</v>
      </c>
      <c r="F38" s="80">
        <f>+F39+F40+F41+F42+F43+F44+F45+F46+F47</f>
        <v>777192.76000000164</v>
      </c>
      <c r="G38" s="80">
        <f>+G39+G40+G41+G42+G43+G44+G45+G46+G47</f>
        <v>28306.919999998063</v>
      </c>
    </row>
    <row r="39" spans="1:7" x14ac:dyDescent="0.25">
      <c r="A39" s="84" t="s">
        <v>315</v>
      </c>
      <c r="B39" s="80"/>
      <c r="C39" s="80"/>
      <c r="D39" s="80">
        <f t="shared" si="2"/>
        <v>0</v>
      </c>
      <c r="E39" s="80">
        <v>0</v>
      </c>
      <c r="F39" s="80">
        <v>0</v>
      </c>
      <c r="G39" s="80">
        <f t="shared" si="3"/>
        <v>0</v>
      </c>
    </row>
    <row r="40" spans="1:7" x14ac:dyDescent="0.25">
      <c r="A40" s="84" t="s">
        <v>316</v>
      </c>
      <c r="B40" s="80"/>
      <c r="C40" s="80"/>
      <c r="D40" s="80">
        <f t="shared" si="2"/>
        <v>0</v>
      </c>
      <c r="E40" s="80">
        <v>0</v>
      </c>
      <c r="F40" s="80">
        <v>0</v>
      </c>
      <c r="G40" s="80">
        <f t="shared" si="3"/>
        <v>0</v>
      </c>
    </row>
    <row r="41" spans="1:7" x14ac:dyDescent="0.25">
      <c r="A41" s="84" t="s">
        <v>317</v>
      </c>
      <c r="B41" s="80"/>
      <c r="C41" s="80"/>
      <c r="D41" s="80">
        <f t="shared" si="2"/>
        <v>0</v>
      </c>
      <c r="E41" s="80">
        <v>0</v>
      </c>
      <c r="F41" s="80">
        <v>0</v>
      </c>
      <c r="G41" s="80">
        <f t="shared" si="3"/>
        <v>0</v>
      </c>
    </row>
    <row r="42" spans="1:7" x14ac:dyDescent="0.25">
      <c r="A42" s="84" t="s">
        <v>318</v>
      </c>
      <c r="B42" s="80">
        <v>420000</v>
      </c>
      <c r="C42" s="80">
        <f>17057171.68-C117</f>
        <v>385999.6799999997</v>
      </c>
      <c r="D42" s="80">
        <f t="shared" si="2"/>
        <v>805999.6799999997</v>
      </c>
      <c r="E42" s="80">
        <f>17448864.76-E117</f>
        <v>777692.76000000164</v>
      </c>
      <c r="F42" s="80">
        <f>17448364.76-F117</f>
        <v>777192.76000000164</v>
      </c>
      <c r="G42" s="80">
        <f t="shared" si="3"/>
        <v>28306.919999998063</v>
      </c>
    </row>
    <row r="43" spans="1:7" x14ac:dyDescent="0.25">
      <c r="A43" s="84" t="s">
        <v>319</v>
      </c>
      <c r="B43" s="80"/>
      <c r="C43" s="80"/>
      <c r="D43" s="80">
        <f t="shared" si="2"/>
        <v>0</v>
      </c>
      <c r="E43" s="80">
        <v>0</v>
      </c>
      <c r="F43" s="80">
        <v>0</v>
      </c>
      <c r="G43" s="80">
        <f t="shared" si="3"/>
        <v>0</v>
      </c>
    </row>
    <row r="44" spans="1:7" x14ac:dyDescent="0.25">
      <c r="A44" s="84" t="s">
        <v>320</v>
      </c>
      <c r="B44" s="80"/>
      <c r="C44" s="80"/>
      <c r="D44" s="80">
        <f t="shared" si="2"/>
        <v>0</v>
      </c>
      <c r="E44" s="80">
        <v>0</v>
      </c>
      <c r="F44" s="80">
        <v>0</v>
      </c>
      <c r="G44" s="80">
        <f t="shared" si="3"/>
        <v>0</v>
      </c>
    </row>
    <row r="45" spans="1:7" x14ac:dyDescent="0.25">
      <c r="A45" s="84" t="s">
        <v>321</v>
      </c>
      <c r="B45" s="80"/>
      <c r="C45" s="80"/>
      <c r="D45" s="80">
        <f t="shared" si="2"/>
        <v>0</v>
      </c>
      <c r="E45" s="80">
        <v>0</v>
      </c>
      <c r="F45" s="80">
        <v>0</v>
      </c>
      <c r="G45" s="80">
        <f t="shared" si="3"/>
        <v>0</v>
      </c>
    </row>
    <row r="46" spans="1:7" x14ac:dyDescent="0.25">
      <c r="A46" s="84" t="s">
        <v>322</v>
      </c>
      <c r="B46" s="80"/>
      <c r="C46" s="80"/>
      <c r="D46" s="80">
        <f t="shared" si="2"/>
        <v>0</v>
      </c>
      <c r="E46" s="80">
        <v>0</v>
      </c>
      <c r="F46" s="80">
        <v>0</v>
      </c>
      <c r="G46" s="80">
        <f t="shared" si="3"/>
        <v>0</v>
      </c>
    </row>
    <row r="47" spans="1:7" x14ac:dyDescent="0.25">
      <c r="A47" s="84" t="s">
        <v>323</v>
      </c>
      <c r="B47" s="80"/>
      <c r="C47" s="80"/>
      <c r="D47" s="80">
        <f t="shared" si="2"/>
        <v>0</v>
      </c>
      <c r="E47" s="80">
        <v>0</v>
      </c>
      <c r="F47" s="80">
        <v>0</v>
      </c>
      <c r="G47" s="80">
        <f t="shared" si="3"/>
        <v>0</v>
      </c>
    </row>
    <row r="48" spans="1:7" x14ac:dyDescent="0.25">
      <c r="A48" s="83" t="s">
        <v>324</v>
      </c>
      <c r="B48" s="80">
        <f>+B49+B50+B51+B54</f>
        <v>212002</v>
      </c>
      <c r="C48" s="80">
        <f>+C49+C50+C51+C52+C53+C54</f>
        <v>7169693.8900000006</v>
      </c>
      <c r="D48" s="80">
        <f t="shared" ref="D48:G48" si="5">+D49+D50+D51+D54</f>
        <v>7381695.8900000006</v>
      </c>
      <c r="E48" s="80">
        <f t="shared" si="5"/>
        <v>7345163.8100000005</v>
      </c>
      <c r="F48" s="80">
        <f t="shared" si="5"/>
        <v>7337863.8000000007</v>
      </c>
      <c r="G48" s="80">
        <f t="shared" si="5"/>
        <v>36532.080000000075</v>
      </c>
    </row>
    <row r="49" spans="1:7" x14ac:dyDescent="0.25">
      <c r="A49" s="84" t="s">
        <v>325</v>
      </c>
      <c r="B49" s="80">
        <v>92000</v>
      </c>
      <c r="C49" s="80">
        <f>118762.31-C124</f>
        <v>106247.06999999999</v>
      </c>
      <c r="D49" s="80">
        <f t="shared" si="2"/>
        <v>198247.07</v>
      </c>
      <c r="E49" s="80">
        <f>210761.31-E124</f>
        <v>198246.07</v>
      </c>
      <c r="F49" s="80">
        <f>210761.31-F124</f>
        <v>198246.07</v>
      </c>
      <c r="G49" s="80">
        <f t="shared" si="3"/>
        <v>1</v>
      </c>
    </row>
    <row r="50" spans="1:7" x14ac:dyDescent="0.25">
      <c r="A50" s="84" t="s">
        <v>326</v>
      </c>
      <c r="B50" s="80">
        <v>8000</v>
      </c>
      <c r="C50" s="80">
        <f>1605280.12-C125</f>
        <v>137096.08000000007</v>
      </c>
      <c r="D50" s="80">
        <f t="shared" si="2"/>
        <v>145096.08000000007</v>
      </c>
      <c r="E50" s="80">
        <f>1610980.12-E125</f>
        <v>142796.08000000007</v>
      </c>
      <c r="F50" s="80">
        <f>1610980.12-F125</f>
        <v>142796.08000000007</v>
      </c>
      <c r="G50" s="80">
        <f t="shared" si="3"/>
        <v>2300</v>
      </c>
    </row>
    <row r="51" spans="1:7" x14ac:dyDescent="0.25">
      <c r="A51" s="84" t="s">
        <v>327</v>
      </c>
      <c r="B51" s="80"/>
      <c r="C51" s="80">
        <f>5990-C126</f>
        <v>5990</v>
      </c>
      <c r="D51" s="80">
        <f t="shared" si="2"/>
        <v>5990</v>
      </c>
      <c r="E51" s="80">
        <f>5990-E126</f>
        <v>5990</v>
      </c>
      <c r="F51" s="80">
        <f>5990-F126</f>
        <v>5990</v>
      </c>
      <c r="G51" s="80">
        <f t="shared" si="3"/>
        <v>0</v>
      </c>
    </row>
    <row r="52" spans="1:7" x14ac:dyDescent="0.25">
      <c r="A52" s="84" t="s">
        <v>328</v>
      </c>
      <c r="B52" s="80"/>
      <c r="C52" s="80"/>
      <c r="D52" s="80">
        <f t="shared" si="2"/>
        <v>0</v>
      </c>
      <c r="E52" s="80">
        <v>0</v>
      </c>
      <c r="F52" s="80"/>
      <c r="G52" s="80">
        <f t="shared" si="3"/>
        <v>0</v>
      </c>
    </row>
    <row r="53" spans="1:7" x14ac:dyDescent="0.25">
      <c r="A53" s="84" t="s">
        <v>329</v>
      </c>
      <c r="B53" s="80"/>
      <c r="C53" s="80"/>
      <c r="D53" s="80">
        <f t="shared" si="2"/>
        <v>0</v>
      </c>
      <c r="E53" s="80">
        <v>0</v>
      </c>
      <c r="F53" s="80"/>
      <c r="G53" s="80">
        <f t="shared" si="3"/>
        <v>0</v>
      </c>
    </row>
    <row r="54" spans="1:7" x14ac:dyDescent="0.25">
      <c r="A54" s="84" t="s">
        <v>330</v>
      </c>
      <c r="B54" s="80">
        <v>112002</v>
      </c>
      <c r="C54" s="80">
        <f>8370360.74-C129</f>
        <v>6920360.7400000002</v>
      </c>
      <c r="D54" s="80">
        <f t="shared" si="2"/>
        <v>7032362.7400000002</v>
      </c>
      <c r="E54" s="80">
        <f>8448131.66-E129</f>
        <v>6998131.6600000001</v>
      </c>
      <c r="F54" s="80">
        <f>8440831.65-F129</f>
        <v>6990831.6500000004</v>
      </c>
      <c r="G54" s="80">
        <f t="shared" si="3"/>
        <v>34231.080000000075</v>
      </c>
    </row>
    <row r="55" spans="1:7" x14ac:dyDescent="0.25">
      <c r="A55" s="84" t="s">
        <v>331</v>
      </c>
      <c r="B55" s="80"/>
      <c r="C55" s="80"/>
      <c r="D55" s="80">
        <f t="shared" si="2"/>
        <v>0</v>
      </c>
      <c r="E55" s="80"/>
      <c r="F55" s="80"/>
      <c r="G55" s="80">
        <f t="shared" si="3"/>
        <v>0</v>
      </c>
    </row>
    <row r="56" spans="1:7" x14ac:dyDescent="0.25">
      <c r="A56" s="84" t="s">
        <v>332</v>
      </c>
      <c r="B56" s="80"/>
      <c r="C56" s="80"/>
      <c r="D56" s="80">
        <f t="shared" si="2"/>
        <v>0</v>
      </c>
      <c r="E56" s="80"/>
      <c r="F56" s="80"/>
      <c r="G56" s="80">
        <f t="shared" si="3"/>
        <v>0</v>
      </c>
    </row>
    <row r="57" spans="1:7" x14ac:dyDescent="0.25">
      <c r="A57" s="84" t="s">
        <v>333</v>
      </c>
      <c r="B57" s="80"/>
      <c r="C57" s="80"/>
      <c r="D57" s="80">
        <f t="shared" si="2"/>
        <v>0</v>
      </c>
      <c r="E57" s="80"/>
      <c r="F57" s="80"/>
      <c r="G57" s="80">
        <f t="shared" si="3"/>
        <v>0</v>
      </c>
    </row>
    <row r="58" spans="1:7" x14ac:dyDescent="0.25">
      <c r="A58" s="83" t="s">
        <v>334</v>
      </c>
      <c r="B58" s="80"/>
      <c r="C58" s="80"/>
      <c r="D58" s="80"/>
      <c r="E58" s="80"/>
      <c r="F58" s="80"/>
      <c r="G58" s="80"/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/>
      <c r="C62" s="80"/>
      <c r="D62" s="80"/>
      <c r="E62" s="80"/>
      <c r="F62" s="80"/>
      <c r="G62" s="80"/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3293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/>
      <c r="C71" s="80"/>
      <c r="D71" s="80"/>
      <c r="E71" s="80"/>
      <c r="F71" s="80"/>
      <c r="G71" s="80"/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/>
      <c r="C75" s="80"/>
      <c r="D75" s="80"/>
      <c r="E75" s="80"/>
      <c r="F75" s="80"/>
      <c r="G75" s="80"/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6">SUM(B85,B93,B103,B113,B123,B133,B137,B146,B150)</f>
        <v>0</v>
      </c>
      <c r="C84" s="79">
        <f t="shared" si="6"/>
        <v>24422270.720000003</v>
      </c>
      <c r="D84" s="79">
        <f t="shared" si="6"/>
        <v>24422270.720000003</v>
      </c>
      <c r="E84" s="79">
        <f t="shared" ref="E84:F84" si="7">SUM(E85,E93,E103,E113,E123,E133,E137,E146,E150)</f>
        <v>24422219.75</v>
      </c>
      <c r="F84" s="79">
        <f t="shared" si="7"/>
        <v>24422219.75</v>
      </c>
      <c r="G84" s="79">
        <f t="shared" si="6"/>
        <v>50.970000000204891</v>
      </c>
    </row>
    <row r="85" spans="1:7" x14ac:dyDescent="0.25">
      <c r="A85" s="83" t="s">
        <v>286</v>
      </c>
      <c r="B85" s="80">
        <f t="shared" ref="B85:C85" si="8">SUM(B86:B92)</f>
        <v>0</v>
      </c>
      <c r="C85" s="80">
        <f t="shared" si="8"/>
        <v>313043.98</v>
      </c>
      <c r="D85" s="80">
        <f>+B85+C85</f>
        <v>313043.98</v>
      </c>
      <c r="E85" s="80">
        <f t="shared" ref="E85:F85" si="9">SUM(E86:E92)</f>
        <v>313043.98</v>
      </c>
      <c r="F85" s="80">
        <f t="shared" si="9"/>
        <v>313043.98</v>
      </c>
      <c r="G85" s="80">
        <f t="shared" ref="G85:G92" si="10">+D85-E85</f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 t="shared" si="10"/>
        <v>0</v>
      </c>
    </row>
    <row r="87" spans="1:7" x14ac:dyDescent="0.25">
      <c r="A87" s="84" t="s">
        <v>288</v>
      </c>
      <c r="B87" s="80"/>
      <c r="C87" s="80">
        <v>313043.98</v>
      </c>
      <c r="D87" s="80">
        <f t="shared" ref="D87" si="11">+B87+C87</f>
        <v>313043.98</v>
      </c>
      <c r="E87" s="80">
        <v>313043.98</v>
      </c>
      <c r="F87" s="80">
        <v>313043.98</v>
      </c>
      <c r="G87" s="80">
        <f t="shared" si="10"/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10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10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10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10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10"/>
        <v>0</v>
      </c>
    </row>
    <row r="93" spans="1:7" x14ac:dyDescent="0.25">
      <c r="A93" s="83" t="s">
        <v>294</v>
      </c>
      <c r="B93" s="80">
        <f t="shared" ref="B93" si="12">SUM(B94:B102)</f>
        <v>0</v>
      </c>
      <c r="C93" s="80">
        <f>+C94+C95+C96+C97+C98+C99+C100+C101+C102</f>
        <v>3056712.08</v>
      </c>
      <c r="D93" s="80">
        <f t="shared" ref="D93:G93" si="13">+D94+D95+D96+D97+D98+D99+D100+D101+D102</f>
        <v>3056712.08</v>
      </c>
      <c r="E93" s="80">
        <f t="shared" si="13"/>
        <v>3056661.11</v>
      </c>
      <c r="F93" s="80">
        <f t="shared" si="13"/>
        <v>3056661.11</v>
      </c>
      <c r="G93" s="80">
        <f t="shared" si="13"/>
        <v>50.970000000204891</v>
      </c>
    </row>
    <row r="94" spans="1:7" x14ac:dyDescent="0.25">
      <c r="A94" s="84" t="s">
        <v>295</v>
      </c>
      <c r="B94" s="80">
        <v>0</v>
      </c>
      <c r="C94" s="80">
        <v>14879.16</v>
      </c>
      <c r="D94" s="80">
        <f t="shared" ref="D94:D102" si="14">+B94+C94</f>
        <v>14879.16</v>
      </c>
      <c r="E94" s="80">
        <v>14879.16</v>
      </c>
      <c r="F94" s="80">
        <v>14879.16</v>
      </c>
      <c r="G94" s="80">
        <f t="shared" ref="G94:G102" si="15">+D94-E94</f>
        <v>0</v>
      </c>
    </row>
    <row r="95" spans="1:7" x14ac:dyDescent="0.25">
      <c r="A95" s="84" t="s">
        <v>296</v>
      </c>
      <c r="B95" s="80">
        <v>0</v>
      </c>
      <c r="C95" s="80">
        <v>1150</v>
      </c>
      <c r="D95" s="80">
        <f t="shared" si="14"/>
        <v>1150</v>
      </c>
      <c r="E95" s="80">
        <v>1150</v>
      </c>
      <c r="F95" s="80">
        <v>1150</v>
      </c>
      <c r="G95" s="80">
        <f t="shared" si="15"/>
        <v>0</v>
      </c>
    </row>
    <row r="96" spans="1:7" x14ac:dyDescent="0.25">
      <c r="A96" s="84" t="s">
        <v>297</v>
      </c>
      <c r="B96" s="80">
        <v>0</v>
      </c>
      <c r="C96" s="80"/>
      <c r="D96" s="80"/>
      <c r="E96" s="80"/>
      <c r="F96" s="80"/>
      <c r="G96" s="80">
        <f t="shared" si="15"/>
        <v>0</v>
      </c>
    </row>
    <row r="97" spans="1:7" x14ac:dyDescent="0.25">
      <c r="A97" s="84" t="s">
        <v>298</v>
      </c>
      <c r="B97" s="80">
        <v>0</v>
      </c>
      <c r="C97" s="80">
        <v>578445.51</v>
      </c>
      <c r="D97" s="80">
        <f t="shared" si="14"/>
        <v>578445.51</v>
      </c>
      <c r="E97" s="80">
        <v>578445.51</v>
      </c>
      <c r="F97" s="80">
        <v>578445.51</v>
      </c>
      <c r="G97" s="80">
        <f t="shared" si="15"/>
        <v>0</v>
      </c>
    </row>
    <row r="98" spans="1:7" x14ac:dyDescent="0.25">
      <c r="A98" s="42" t="s">
        <v>299</v>
      </c>
      <c r="B98" s="80">
        <v>0</v>
      </c>
      <c r="C98" s="80">
        <v>25933.54</v>
      </c>
      <c r="D98" s="80">
        <f t="shared" si="14"/>
        <v>25933.54</v>
      </c>
      <c r="E98" s="80">
        <v>25933.54</v>
      </c>
      <c r="F98" s="80">
        <v>25933.54</v>
      </c>
      <c r="G98" s="80">
        <f t="shared" si="15"/>
        <v>0</v>
      </c>
    </row>
    <row r="99" spans="1:7" x14ac:dyDescent="0.25">
      <c r="A99" s="84" t="s">
        <v>300</v>
      </c>
      <c r="B99" s="80">
        <v>0</v>
      </c>
      <c r="C99" s="80">
        <v>1000</v>
      </c>
      <c r="D99" s="80">
        <f t="shared" si="14"/>
        <v>1000</v>
      </c>
      <c r="E99" s="80">
        <v>1000</v>
      </c>
      <c r="F99" s="80">
        <v>1000</v>
      </c>
      <c r="G99" s="80">
        <f t="shared" si="15"/>
        <v>0</v>
      </c>
    </row>
    <row r="100" spans="1:7" x14ac:dyDescent="0.25">
      <c r="A100" s="84" t="s">
        <v>301</v>
      </c>
      <c r="B100" s="80">
        <v>0</v>
      </c>
      <c r="C100" s="80">
        <v>2377186.63</v>
      </c>
      <c r="D100" s="80">
        <f t="shared" si="14"/>
        <v>2377186.63</v>
      </c>
      <c r="E100" s="80">
        <v>2377135.6599999997</v>
      </c>
      <c r="F100" s="80">
        <v>2377135.6599999997</v>
      </c>
      <c r="G100" s="80">
        <f t="shared" si="15"/>
        <v>50.970000000204891</v>
      </c>
    </row>
    <row r="101" spans="1:7" x14ac:dyDescent="0.25">
      <c r="A101" s="84" t="s">
        <v>302</v>
      </c>
      <c r="B101" s="80">
        <v>0</v>
      </c>
      <c r="C101" s="80"/>
      <c r="D101" s="80"/>
      <c r="E101" s="80"/>
      <c r="F101" s="80"/>
      <c r="G101" s="80">
        <f t="shared" si="15"/>
        <v>0</v>
      </c>
    </row>
    <row r="102" spans="1:7" x14ac:dyDescent="0.25">
      <c r="A102" s="84" t="s">
        <v>303</v>
      </c>
      <c r="B102" s="80">
        <v>0</v>
      </c>
      <c r="C102" s="80">
        <v>58117.24</v>
      </c>
      <c r="D102" s="80">
        <f t="shared" si="14"/>
        <v>58117.24</v>
      </c>
      <c r="E102" s="80">
        <v>58117.24</v>
      </c>
      <c r="F102" s="80">
        <v>58117.24</v>
      </c>
      <c r="G102" s="80">
        <f t="shared" si="15"/>
        <v>0</v>
      </c>
    </row>
    <row r="103" spans="1:7" x14ac:dyDescent="0.25">
      <c r="A103" s="83" t="s">
        <v>304</v>
      </c>
      <c r="B103" s="80">
        <f t="shared" ref="B103" si="16">SUM(B104:B112)</f>
        <v>0</v>
      </c>
      <c r="C103" s="80">
        <f>+C104+C105+C106+C107+C108+C109+C110+C111+C112</f>
        <v>1413643.3800000001</v>
      </c>
      <c r="D103" s="80">
        <f t="shared" ref="D103:G103" si="17">+D104+D105+D106+D107+D108+D109+D110+D111+D112</f>
        <v>1413643.3800000001</v>
      </c>
      <c r="E103" s="80">
        <f t="shared" si="17"/>
        <v>1413643.3800000001</v>
      </c>
      <c r="F103" s="80">
        <f t="shared" si="17"/>
        <v>1413643.3800000001</v>
      </c>
      <c r="G103" s="80">
        <f t="shared" si="17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/>
      <c r="E104" s="80">
        <v>0</v>
      </c>
      <c r="F104" s="80">
        <v>0</v>
      </c>
      <c r="G104" s="80">
        <f t="shared" ref="G104:G112" si="18">+D104-E104</f>
        <v>0</v>
      </c>
    </row>
    <row r="105" spans="1:7" x14ac:dyDescent="0.25">
      <c r="A105" s="84" t="s">
        <v>306</v>
      </c>
      <c r="B105" s="80">
        <v>0</v>
      </c>
      <c r="C105" s="80">
        <v>119423.03999999999</v>
      </c>
      <c r="D105" s="80">
        <f t="shared" ref="D105:D112" si="19">+B105+C105</f>
        <v>119423.03999999999</v>
      </c>
      <c r="E105" s="80">
        <v>119423.03999999999</v>
      </c>
      <c r="F105" s="80">
        <v>119423.03999999999</v>
      </c>
      <c r="G105" s="80">
        <f t="shared" si="18"/>
        <v>0</v>
      </c>
    </row>
    <row r="106" spans="1:7" x14ac:dyDescent="0.25">
      <c r="A106" s="84" t="s">
        <v>307</v>
      </c>
      <c r="B106" s="80">
        <v>0</v>
      </c>
      <c r="C106" s="80">
        <v>545507.19999999995</v>
      </c>
      <c r="D106" s="80">
        <f t="shared" si="19"/>
        <v>545507.19999999995</v>
      </c>
      <c r="E106" s="80">
        <v>545507.19999999995</v>
      </c>
      <c r="F106" s="80">
        <v>545507.19999999995</v>
      </c>
      <c r="G106" s="80">
        <f t="shared" si="18"/>
        <v>0</v>
      </c>
    </row>
    <row r="107" spans="1:7" x14ac:dyDescent="0.25">
      <c r="A107" s="84" t="s">
        <v>308</v>
      </c>
      <c r="B107" s="80">
        <v>0</v>
      </c>
      <c r="C107" s="80">
        <v>34759.019999999997</v>
      </c>
      <c r="D107" s="80">
        <f t="shared" si="19"/>
        <v>34759.019999999997</v>
      </c>
      <c r="E107" s="80">
        <v>34759.019999999997</v>
      </c>
      <c r="F107" s="80">
        <v>34759.019999999997</v>
      </c>
      <c r="G107" s="80">
        <f t="shared" si="18"/>
        <v>0</v>
      </c>
    </row>
    <row r="108" spans="1:7" x14ac:dyDescent="0.25">
      <c r="A108" s="84" t="s">
        <v>309</v>
      </c>
      <c r="B108" s="80">
        <v>0</v>
      </c>
      <c r="C108" s="80">
        <v>546973.31000000006</v>
      </c>
      <c r="D108" s="80">
        <f t="shared" si="19"/>
        <v>546973.31000000006</v>
      </c>
      <c r="E108" s="80">
        <v>546973.31000000006</v>
      </c>
      <c r="F108" s="80">
        <v>546973.31000000006</v>
      </c>
      <c r="G108" s="80">
        <f t="shared" si="18"/>
        <v>0</v>
      </c>
    </row>
    <row r="109" spans="1:7" x14ac:dyDescent="0.25">
      <c r="A109" s="84" t="s">
        <v>310</v>
      </c>
      <c r="B109" s="80">
        <v>0</v>
      </c>
      <c r="C109" s="80">
        <v>6301.09</v>
      </c>
      <c r="D109" s="80">
        <f t="shared" si="19"/>
        <v>6301.09</v>
      </c>
      <c r="E109" s="80">
        <v>6301.09</v>
      </c>
      <c r="F109" s="80">
        <v>6301.09</v>
      </c>
      <c r="G109" s="80">
        <f t="shared" si="18"/>
        <v>0</v>
      </c>
    </row>
    <row r="110" spans="1:7" x14ac:dyDescent="0.25">
      <c r="A110" s="84" t="s">
        <v>311</v>
      </c>
      <c r="B110" s="80">
        <v>0</v>
      </c>
      <c r="C110" s="80">
        <v>133670.03</v>
      </c>
      <c r="D110" s="80">
        <f t="shared" si="19"/>
        <v>133670.03</v>
      </c>
      <c r="E110" s="80">
        <v>133670.03</v>
      </c>
      <c r="F110" s="80">
        <v>133670.03</v>
      </c>
      <c r="G110" s="80">
        <f t="shared" si="18"/>
        <v>0</v>
      </c>
    </row>
    <row r="111" spans="1:7" x14ac:dyDescent="0.25">
      <c r="A111" s="84" t="s">
        <v>312</v>
      </c>
      <c r="B111" s="80">
        <v>0</v>
      </c>
      <c r="C111" s="80">
        <v>19809.669999999998</v>
      </c>
      <c r="D111" s="80">
        <f t="shared" si="19"/>
        <v>19809.669999999998</v>
      </c>
      <c r="E111" s="80">
        <v>19809.669999999998</v>
      </c>
      <c r="F111" s="80">
        <v>19809.669999999998</v>
      </c>
      <c r="G111" s="80">
        <f t="shared" si="18"/>
        <v>0</v>
      </c>
    </row>
    <row r="112" spans="1:7" x14ac:dyDescent="0.25">
      <c r="A112" s="84" t="s">
        <v>313</v>
      </c>
      <c r="B112" s="80">
        <v>0</v>
      </c>
      <c r="C112" s="80">
        <v>7200.02</v>
      </c>
      <c r="D112" s="80">
        <f t="shared" si="19"/>
        <v>7200.02</v>
      </c>
      <c r="E112" s="80">
        <v>7200.02</v>
      </c>
      <c r="F112" s="80">
        <v>7200.02</v>
      </c>
      <c r="G112" s="80">
        <f t="shared" si="18"/>
        <v>0</v>
      </c>
    </row>
    <row r="113" spans="1:7" x14ac:dyDescent="0.25">
      <c r="A113" s="83" t="s">
        <v>314</v>
      </c>
      <c r="B113" s="80">
        <f t="shared" ref="B113:G113" si="20">SUM(B114:B122)</f>
        <v>0</v>
      </c>
      <c r="C113" s="80">
        <f t="shared" si="20"/>
        <v>16671172</v>
      </c>
      <c r="D113" s="80">
        <f t="shared" si="20"/>
        <v>16671172</v>
      </c>
      <c r="E113" s="80">
        <f t="shared" ref="E113:F113" si="21">SUM(E114:E122)</f>
        <v>16671172</v>
      </c>
      <c r="F113" s="80">
        <f t="shared" si="21"/>
        <v>16671172</v>
      </c>
      <c r="G113" s="80">
        <f t="shared" si="20"/>
        <v>0</v>
      </c>
    </row>
    <row r="114" spans="1:7" x14ac:dyDescent="0.25">
      <c r="A114" s="84" t="s">
        <v>315</v>
      </c>
      <c r="B114" s="80">
        <v>0</v>
      </c>
      <c r="C114" s="80"/>
      <c r="D114" s="80"/>
      <c r="E114" s="80"/>
      <c r="F114" s="80"/>
      <c r="G114" s="80">
        <f t="shared" ref="G114:G122" si="22">+D114-E114</f>
        <v>0</v>
      </c>
    </row>
    <row r="115" spans="1:7" x14ac:dyDescent="0.25">
      <c r="A115" s="84" t="s">
        <v>316</v>
      </c>
      <c r="B115" s="80">
        <v>0</v>
      </c>
      <c r="C115" s="80"/>
      <c r="D115" s="80"/>
      <c r="E115" s="80"/>
      <c r="F115" s="80"/>
      <c r="G115" s="80">
        <f t="shared" si="22"/>
        <v>0</v>
      </c>
    </row>
    <row r="116" spans="1:7" x14ac:dyDescent="0.25">
      <c r="A116" s="84" t="s">
        <v>317</v>
      </c>
      <c r="B116" s="80">
        <v>0</v>
      </c>
      <c r="C116" s="80"/>
      <c r="D116" s="80"/>
      <c r="E116" s="80"/>
      <c r="F116" s="80"/>
      <c r="G116" s="80">
        <f t="shared" si="22"/>
        <v>0</v>
      </c>
    </row>
    <row r="117" spans="1:7" x14ac:dyDescent="0.25">
      <c r="A117" s="84" t="s">
        <v>318</v>
      </c>
      <c r="B117" s="80">
        <v>0</v>
      </c>
      <c r="C117" s="80">
        <v>16671172</v>
      </c>
      <c r="D117" s="80">
        <f t="shared" ref="D117" si="23">+B117+C117</f>
        <v>16671172</v>
      </c>
      <c r="E117" s="80">
        <v>16671172</v>
      </c>
      <c r="F117" s="80">
        <v>16671172</v>
      </c>
      <c r="G117" s="80">
        <f t="shared" si="2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2"/>
        <v>0</v>
      </c>
    </row>
    <row r="123" spans="1:7" x14ac:dyDescent="0.25">
      <c r="A123" s="83" t="s">
        <v>324</v>
      </c>
      <c r="B123" s="80"/>
      <c r="C123" s="80">
        <f>+C124+C125+C127+C129</f>
        <v>2967699.2800000003</v>
      </c>
      <c r="D123" s="80">
        <f t="shared" ref="D123:G123" si="24">+D124+D125+D127+D129</f>
        <v>2967699.2800000003</v>
      </c>
      <c r="E123" s="80">
        <f t="shared" si="24"/>
        <v>2967699.2800000003</v>
      </c>
      <c r="F123" s="80">
        <f t="shared" si="24"/>
        <v>2967699.2800000003</v>
      </c>
      <c r="G123" s="80">
        <f t="shared" si="24"/>
        <v>0</v>
      </c>
    </row>
    <row r="124" spans="1:7" x14ac:dyDescent="0.25">
      <c r="A124" s="84" t="s">
        <v>325</v>
      </c>
      <c r="B124" s="80"/>
      <c r="C124" s="80">
        <v>12515.24</v>
      </c>
      <c r="D124" s="80">
        <f t="shared" ref="D124:D129" si="25">+B124+C124</f>
        <v>12515.24</v>
      </c>
      <c r="E124" s="80">
        <v>12515.24</v>
      </c>
      <c r="F124" s="80">
        <v>12515.24</v>
      </c>
      <c r="G124" s="80">
        <f t="shared" ref="G124:G132" si="26">+D124-E124</f>
        <v>0</v>
      </c>
    </row>
    <row r="125" spans="1:7" x14ac:dyDescent="0.25">
      <c r="A125" s="84" t="s">
        <v>326</v>
      </c>
      <c r="B125" s="80"/>
      <c r="C125" s="80">
        <v>1468184.04</v>
      </c>
      <c r="D125" s="80">
        <f t="shared" si="25"/>
        <v>1468184.04</v>
      </c>
      <c r="E125" s="80">
        <v>1468184.04</v>
      </c>
      <c r="F125" s="80">
        <v>1468184.04</v>
      </c>
      <c r="G125" s="80">
        <f t="shared" si="26"/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6"/>
        <v>0</v>
      </c>
    </row>
    <row r="127" spans="1:7" x14ac:dyDescent="0.25">
      <c r="A127" s="84" t="s">
        <v>328</v>
      </c>
      <c r="B127" s="80"/>
      <c r="C127" s="80">
        <v>37000</v>
      </c>
      <c r="D127" s="80">
        <f t="shared" si="25"/>
        <v>37000</v>
      </c>
      <c r="E127" s="80">
        <v>37000</v>
      </c>
      <c r="F127" s="80">
        <v>37000</v>
      </c>
      <c r="G127" s="80">
        <f t="shared" si="26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6"/>
        <v>0</v>
      </c>
    </row>
    <row r="129" spans="1:7" x14ac:dyDescent="0.25">
      <c r="A129" s="84" t="s">
        <v>330</v>
      </c>
      <c r="B129" s="80"/>
      <c r="C129" s="80">
        <v>1450000</v>
      </c>
      <c r="D129" s="80">
        <f t="shared" si="25"/>
        <v>1450000</v>
      </c>
      <c r="E129" s="80">
        <v>1450000</v>
      </c>
      <c r="F129" s="80">
        <v>1450000</v>
      </c>
      <c r="G129" s="80">
        <f t="shared" si="26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6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6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6"/>
        <v>0</v>
      </c>
    </row>
    <row r="133" spans="1:7" x14ac:dyDescent="0.25">
      <c r="A133" s="83" t="s">
        <v>334</v>
      </c>
      <c r="B133" s="80">
        <f t="shared" ref="B133:G133" si="27">SUM(B134:B136)</f>
        <v>0</v>
      </c>
      <c r="C133" s="80">
        <f t="shared" si="27"/>
        <v>0</v>
      </c>
      <c r="D133" s="80">
        <f t="shared" si="27"/>
        <v>0</v>
      </c>
      <c r="E133" s="80">
        <f t="shared" ref="E133:F133" si="28">SUM(E134:E136)</f>
        <v>0</v>
      </c>
      <c r="F133" s="80">
        <f t="shared" si="28"/>
        <v>0</v>
      </c>
      <c r="G133" s="80">
        <f t="shared" si="27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ref="E137:F137" si="30">SUM(E138:E142,E144:E145)</f>
        <v>0</v>
      </c>
      <c r="F137" s="80">
        <f t="shared" si="30"/>
        <v>0</v>
      </c>
      <c r="G137" s="80">
        <f t="shared" si="29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ref="E146:F146" si="32">SUM(E147:E149)</f>
        <v>0</v>
      </c>
      <c r="F146" s="80">
        <f t="shared" si="32"/>
        <v>0</v>
      </c>
      <c r="G146" s="80">
        <f t="shared" si="31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v>0</v>
      </c>
      <c r="C150" s="80">
        <f t="shared" ref="C150:G150" si="33">SUM(C151:C157)</f>
        <v>0</v>
      </c>
      <c r="D150" s="80">
        <f t="shared" si="33"/>
        <v>0</v>
      </c>
      <c r="E150" s="80">
        <f t="shared" si="33"/>
        <v>0</v>
      </c>
      <c r="F150" s="80">
        <f t="shared" si="33"/>
        <v>0</v>
      </c>
      <c r="G150" s="80">
        <f t="shared" si="33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81241179</v>
      </c>
      <c r="C159" s="79">
        <f t="shared" si="34"/>
        <v>29359198.390000004</v>
      </c>
      <c r="D159" s="79">
        <f t="shared" si="34"/>
        <v>110600377.39</v>
      </c>
      <c r="E159" s="79">
        <f t="shared" si="34"/>
        <v>108007271.08</v>
      </c>
      <c r="F159" s="79">
        <f t="shared" si="34"/>
        <v>107547987.95</v>
      </c>
      <c r="G159" s="79">
        <f t="shared" si="34"/>
        <v>2593106.3099999996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 verticalCentered="1"/>
  <pageMargins left="0.23622047244094491" right="0.23622047244094491" top="0.15748031496062992" bottom="0.94488188976377963" header="0.31496062992125984" footer="0.31496062992125984"/>
  <pageSetup scale="30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81241179</v>
      </c>
      <c r="Q2" s="18">
        <f>'Formato 6 a)'!C9</f>
        <v>4936927.6700000009</v>
      </c>
      <c r="R2" s="18">
        <f>'Formato 6 a)'!D9</f>
        <v>86178106.670000002</v>
      </c>
      <c r="S2" s="18">
        <f>'Formato 6 a)'!E9</f>
        <v>83585051.329999998</v>
      </c>
      <c r="T2" s="18">
        <f>'Formato 6 a)'!F9</f>
        <v>83125768.200000003</v>
      </c>
      <c r="U2" s="18">
        <f>'Formato 6 a)'!G9</f>
        <v>2593055.3399999994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56841147.32</v>
      </c>
      <c r="Q3" s="18">
        <f>'Formato 6 a)'!C10</f>
        <v>-4458700.87</v>
      </c>
      <c r="R3" s="18">
        <f>'Formato 6 a)'!D10</f>
        <v>52382446.449999996</v>
      </c>
      <c r="S3" s="18">
        <f>'Formato 6 a)'!E10</f>
        <v>51999434.079999998</v>
      </c>
      <c r="T3" s="18">
        <f>'Formato 6 a)'!F10</f>
        <v>51999434.079999998</v>
      </c>
      <c r="U3" s="18">
        <f>'Formato 6 a)'!G10</f>
        <v>383012.37000000011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16757953</v>
      </c>
      <c r="Q4" s="18">
        <f>'Formato 6 a)'!C11</f>
        <v>-1624180.57</v>
      </c>
      <c r="R4" s="18">
        <f>'Formato 6 a)'!D11</f>
        <v>15133772.43</v>
      </c>
      <c r="S4" s="18">
        <f>'Formato 6 a)'!E11</f>
        <v>15069268.84</v>
      </c>
      <c r="T4" s="18">
        <f>'Formato 6 a)'!F11</f>
        <v>15069268.84</v>
      </c>
      <c r="U4" s="18">
        <f>'Formato 6 a)'!G11</f>
        <v>64503.589999999851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16189046</v>
      </c>
      <c r="Q5" s="18">
        <f>'Formato 6 a)'!C12</f>
        <v>532890.97</v>
      </c>
      <c r="R5" s="18">
        <f>'Formato 6 a)'!D12</f>
        <v>16721936.970000001</v>
      </c>
      <c r="S5" s="18">
        <f>'Formato 6 a)'!E12</f>
        <v>16554892.449999999</v>
      </c>
      <c r="T5" s="18">
        <f>'Formato 6 a)'!F12</f>
        <v>16554892.449999999</v>
      </c>
      <c r="U5" s="18">
        <f>'Formato 6 a)'!G12</f>
        <v>167044.52000000142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4148165</v>
      </c>
      <c r="Q6" s="18">
        <f>'Formato 6 a)'!C13</f>
        <v>-659169.06999999995</v>
      </c>
      <c r="R6" s="18">
        <f>'Formato 6 a)'!D13</f>
        <v>3488995.93</v>
      </c>
      <c r="S6" s="18">
        <f>'Formato 6 a)'!E13</f>
        <v>3456426.72</v>
      </c>
      <c r="T6" s="18">
        <f>'Formato 6 a)'!F13</f>
        <v>3456426.72</v>
      </c>
      <c r="U6" s="18">
        <f>'Formato 6 a)'!G13</f>
        <v>32569.209999999963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6425277</v>
      </c>
      <c r="Q7" s="18">
        <f>'Formato 6 a)'!C14</f>
        <v>-1292541.23</v>
      </c>
      <c r="R7" s="18">
        <f>'Formato 6 a)'!D14</f>
        <v>5132735.7699999996</v>
      </c>
      <c r="S7" s="18">
        <f>'Formato 6 a)'!E14</f>
        <v>5095914.3499999996</v>
      </c>
      <c r="T7" s="18">
        <f>'Formato 6 a)'!F14</f>
        <v>5095914.3499999996</v>
      </c>
      <c r="U7" s="18">
        <f>'Formato 6 a)'!G14</f>
        <v>36821.419999999925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12731266.32</v>
      </c>
      <c r="Q8" s="18">
        <f>'Formato 6 a)'!C15</f>
        <v>-1203220.97</v>
      </c>
      <c r="R8" s="18">
        <f>'Formato 6 a)'!D15</f>
        <v>11528045.35</v>
      </c>
      <c r="S8" s="18">
        <f>'Formato 6 a)'!E15</f>
        <v>11446131.720000001</v>
      </c>
      <c r="T8" s="18">
        <f>'Formato 6 a)'!F15</f>
        <v>11446131.720000001</v>
      </c>
      <c r="U8" s="18">
        <f>'Formato 6 a)'!G15</f>
        <v>81913.629999998957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589440</v>
      </c>
      <c r="Q10" s="18">
        <f>'Formato 6 a)'!C17</f>
        <v>-212480</v>
      </c>
      <c r="R10" s="18">
        <f>'Formato 6 a)'!D17</f>
        <v>376960</v>
      </c>
      <c r="S10" s="18">
        <f>'Formato 6 a)'!E17</f>
        <v>376800</v>
      </c>
      <c r="T10" s="18">
        <f>'Formato 6 a)'!F17</f>
        <v>376800</v>
      </c>
      <c r="U10" s="18">
        <f>'Formato 6 a)'!G17</f>
        <v>160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5678830.0599999996</v>
      </c>
      <c r="Q11" s="18">
        <f>'Formato 6 a)'!C18</f>
        <v>1661750.9800000002</v>
      </c>
      <c r="R11" s="18">
        <f>'Formato 6 a)'!D18</f>
        <v>7340581.040000001</v>
      </c>
      <c r="S11" s="18">
        <f>'Formato 6 a)'!E18</f>
        <v>6198387.7100000009</v>
      </c>
      <c r="T11" s="18">
        <f>'Formato 6 a)'!F18</f>
        <v>6155644.5</v>
      </c>
      <c r="U11" s="18">
        <f>'Formato 6 a)'!G18</f>
        <v>1142193.33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667424.06000000006</v>
      </c>
      <c r="Q12" s="18">
        <f>'Formato 6 a)'!C19</f>
        <v>-95353.62000000001</v>
      </c>
      <c r="R12" s="18">
        <f>'Formato 6 a)'!D19</f>
        <v>572070.44000000006</v>
      </c>
      <c r="S12" s="18">
        <f>'Formato 6 a)'!E19</f>
        <v>457052.37000000005</v>
      </c>
      <c r="T12" s="18">
        <f>'Formato 6 a)'!F19</f>
        <v>450651.05000000005</v>
      </c>
      <c r="U12" s="18">
        <f>'Formato 6 a)'!G19</f>
        <v>115018.07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91550</v>
      </c>
      <c r="Q13" s="18">
        <f>'Formato 6 a)'!C20</f>
        <v>75174.05</v>
      </c>
      <c r="R13" s="18">
        <f>'Formato 6 a)'!D20</f>
        <v>166724.04999999999</v>
      </c>
      <c r="S13" s="18">
        <f>'Formato 6 a)'!E20</f>
        <v>145762.16</v>
      </c>
      <c r="T13" s="18">
        <f>'Formato 6 a)'!F20</f>
        <v>145505.41</v>
      </c>
      <c r="U13" s="18">
        <f>'Formato 6 a)'!G20</f>
        <v>20961.889999999985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1040379</v>
      </c>
      <c r="Q15" s="18">
        <f>'Formato 6 a)'!C22</f>
        <v>379648.45999999996</v>
      </c>
      <c r="R15" s="18">
        <f>'Formato 6 a)'!D22</f>
        <v>1420027.46</v>
      </c>
      <c r="S15" s="18">
        <f>'Formato 6 a)'!E22</f>
        <v>1001177.1699999999</v>
      </c>
      <c r="T15" s="18">
        <f>'Formato 6 a)'!F22</f>
        <v>987464.26</v>
      </c>
      <c r="U15" s="18">
        <f>'Formato 6 a)'!G22</f>
        <v>418850.29000000004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1358050</v>
      </c>
      <c r="Q16" s="18">
        <f>'Formato 6 a)'!C23</f>
        <v>-162644.08000000002</v>
      </c>
      <c r="R16" s="18">
        <f>'Formato 6 a)'!D23</f>
        <v>1195405.92</v>
      </c>
      <c r="S16" s="18">
        <f>'Formato 6 a)'!E23</f>
        <v>1082406.1599999999</v>
      </c>
      <c r="T16" s="18">
        <f>'Formato 6 a)'!F23</f>
        <v>1082319.1599999999</v>
      </c>
      <c r="U16" s="18">
        <f>'Formato 6 a)'!G23</f>
        <v>112999.76000000001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620011</v>
      </c>
      <c r="Q17" s="18">
        <f>'Formato 6 a)'!C24</f>
        <v>-92681.59</v>
      </c>
      <c r="R17" s="18">
        <f>'Formato 6 a)'!D24</f>
        <v>527329.41</v>
      </c>
      <c r="S17" s="18">
        <f>'Formato 6 a)'!E24</f>
        <v>440694.08</v>
      </c>
      <c r="T17" s="18">
        <f>'Formato 6 a)'!F24</f>
        <v>439058.57</v>
      </c>
      <c r="U17" s="18">
        <f>'Formato 6 a)'!G24</f>
        <v>86635.330000000016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1439882</v>
      </c>
      <c r="Q18" s="18">
        <f>'Formato 6 a)'!C25</f>
        <v>1515963.8200000003</v>
      </c>
      <c r="R18" s="18">
        <f>'Formato 6 a)'!D25</f>
        <v>2955845.8200000003</v>
      </c>
      <c r="S18" s="18">
        <f>'Formato 6 a)'!E25</f>
        <v>2663631.5300000007</v>
      </c>
      <c r="T18" s="18">
        <f>'Formato 6 a)'!F25</f>
        <v>2651483.4100000006</v>
      </c>
      <c r="U18" s="18">
        <f>'Formato 6 a)'!G25</f>
        <v>292214.28999999957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461534</v>
      </c>
      <c r="Q20" s="18">
        <f>'Formato 6 a)'!C27</f>
        <v>41643.939999999995</v>
      </c>
      <c r="R20" s="18">
        <f>'Formato 6 a)'!D27</f>
        <v>503177.94</v>
      </c>
      <c r="S20" s="18">
        <f>'Formato 6 a)'!E27</f>
        <v>407664.24</v>
      </c>
      <c r="T20" s="18">
        <f>'Formato 6 a)'!F27</f>
        <v>399162.64</v>
      </c>
      <c r="U20" s="18">
        <f>'Formato 6 a)'!G27</f>
        <v>95513.700000000012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18089199.620000001</v>
      </c>
      <c r="Q21" s="18">
        <f>'Formato 6 a)'!C28</f>
        <v>178183.99000000011</v>
      </c>
      <c r="R21" s="18">
        <f>'Formato 6 a)'!D28</f>
        <v>18267383.609999999</v>
      </c>
      <c r="S21" s="18">
        <f>'Formato 6 a)'!E28</f>
        <v>17264372.969999999</v>
      </c>
      <c r="T21" s="18">
        <f>'Formato 6 a)'!F28</f>
        <v>16855633.060000002</v>
      </c>
      <c r="U21" s="18">
        <f>'Formato 6 a)'!G28</f>
        <v>1003010.6400000009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9034620</v>
      </c>
      <c r="Q22" s="18">
        <f>'Formato 6 a)'!C29</f>
        <v>-1388829.67</v>
      </c>
      <c r="R22" s="18">
        <f>'Formato 6 a)'!D29</f>
        <v>7645790.3300000001</v>
      </c>
      <c r="S22" s="18">
        <f>'Formato 6 a)'!E29</f>
        <v>7420869.7199999997</v>
      </c>
      <c r="T22" s="18">
        <f>'Formato 6 a)'!F29</f>
        <v>7196734.1900000004</v>
      </c>
      <c r="U22" s="18">
        <f>'Formato 6 a)'!G29</f>
        <v>224920.61000000034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346422.08</v>
      </c>
      <c r="Q23" s="18">
        <f>'Formato 6 a)'!C30</f>
        <v>613778.78999999992</v>
      </c>
      <c r="R23" s="18">
        <f>'Formato 6 a)'!D30</f>
        <v>960200.86999999988</v>
      </c>
      <c r="S23" s="18">
        <f>'Formato 6 a)'!E30</f>
        <v>836729.74</v>
      </c>
      <c r="T23" s="18">
        <f>'Formato 6 a)'!F30</f>
        <v>836729.74</v>
      </c>
      <c r="U23" s="18">
        <f>'Formato 6 a)'!G30</f>
        <v>123471.12999999989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4641192</v>
      </c>
      <c r="Q24" s="18">
        <f>'Formato 6 a)'!C31</f>
        <v>-125402.16999999993</v>
      </c>
      <c r="R24" s="18">
        <f>'Formato 6 a)'!D31</f>
        <v>4515789.83</v>
      </c>
      <c r="S24" s="18">
        <f>'Formato 6 a)'!E31</f>
        <v>4378628.2299999995</v>
      </c>
      <c r="T24" s="18">
        <f>'Formato 6 a)'!F31</f>
        <v>4357745.04</v>
      </c>
      <c r="U24" s="18">
        <f>'Formato 6 a)'!G31</f>
        <v>137161.60000000056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576176</v>
      </c>
      <c r="Q25" s="18">
        <f>'Formato 6 a)'!C32</f>
        <v>-19506.939999999995</v>
      </c>
      <c r="R25" s="18">
        <f>'Formato 6 a)'!D32</f>
        <v>556669.06000000006</v>
      </c>
      <c r="S25" s="18">
        <f>'Formato 6 a)'!E32</f>
        <v>512377.23</v>
      </c>
      <c r="T25" s="18">
        <f>'Formato 6 a)'!F32</f>
        <v>485409.64999999997</v>
      </c>
      <c r="U25" s="18">
        <f>'Formato 6 a)'!G32</f>
        <v>44291.830000000075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589878</v>
      </c>
      <c r="Q26" s="18">
        <f>'Formato 6 a)'!C33</f>
        <v>362987.45999999996</v>
      </c>
      <c r="R26" s="18">
        <f>'Formato 6 a)'!D33</f>
        <v>952865.46</v>
      </c>
      <c r="S26" s="18">
        <f>'Formato 6 a)'!E33</f>
        <v>649933.37999999989</v>
      </c>
      <c r="T26" s="18">
        <f>'Formato 6 a)'!F33</f>
        <v>562826.36999999988</v>
      </c>
      <c r="U26" s="18">
        <f>'Formato 6 a)'!G33</f>
        <v>302932.08000000007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1315840.3999999999</v>
      </c>
      <c r="Q27" s="18">
        <f>'Formato 6 a)'!C34</f>
        <v>819285.77</v>
      </c>
      <c r="R27" s="18">
        <f>'Formato 6 a)'!D34</f>
        <v>2135126.17</v>
      </c>
      <c r="S27" s="18">
        <f>'Formato 6 a)'!E34</f>
        <v>2071030.18</v>
      </c>
      <c r="T27" s="18">
        <f>'Formato 6 a)'!F34</f>
        <v>2029927.45</v>
      </c>
      <c r="U27" s="18">
        <f>'Formato 6 a)'!G34</f>
        <v>64095.989999999991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411309</v>
      </c>
      <c r="Q28" s="18">
        <f>'Formato 6 a)'!C35</f>
        <v>-133600.5</v>
      </c>
      <c r="R28" s="18">
        <f>'Formato 6 a)'!D35</f>
        <v>277708.5</v>
      </c>
      <c r="S28" s="18">
        <f>'Formato 6 a)'!E35</f>
        <v>204728.86000000002</v>
      </c>
      <c r="T28" s="18">
        <f>'Formato 6 a)'!F35</f>
        <v>200850.24000000002</v>
      </c>
      <c r="U28" s="18">
        <f>'Formato 6 a)'!G35</f>
        <v>72979.639999999985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189400</v>
      </c>
      <c r="Q29" s="18">
        <f>'Formato 6 a)'!C36</f>
        <v>4796.260000000002</v>
      </c>
      <c r="R29" s="18">
        <f>'Formato 6 a)'!D36</f>
        <v>194196.26</v>
      </c>
      <c r="S29" s="18">
        <f>'Formato 6 a)'!E36</f>
        <v>185155.13</v>
      </c>
      <c r="T29" s="18">
        <f>'Formato 6 a)'!F36</f>
        <v>181004.88</v>
      </c>
      <c r="U29" s="18">
        <f>'Formato 6 a)'!G36</f>
        <v>9041.1300000000047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984362.14</v>
      </c>
      <c r="Q30" s="18">
        <f>'Formato 6 a)'!C37</f>
        <v>44674.990000000005</v>
      </c>
      <c r="R30" s="18">
        <f>'Formato 6 a)'!D37</f>
        <v>1029037.13</v>
      </c>
      <c r="S30" s="18">
        <f>'Formato 6 a)'!E37</f>
        <v>1004920.5</v>
      </c>
      <c r="T30" s="18">
        <f>'Formato 6 a)'!F37</f>
        <v>1004405.5</v>
      </c>
      <c r="U30" s="18">
        <f>'Formato 6 a)'!G37</f>
        <v>24116.630000000005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420000</v>
      </c>
      <c r="Q31" s="18">
        <f>'Formato 6 a)'!C38</f>
        <v>385999.6799999997</v>
      </c>
      <c r="R31" s="18">
        <f>'Formato 6 a)'!D38</f>
        <v>805999.6799999997</v>
      </c>
      <c r="S31" s="18">
        <f>'Formato 6 a)'!E38</f>
        <v>777692.76000000164</v>
      </c>
      <c r="T31" s="18">
        <f>'Formato 6 a)'!F38</f>
        <v>777192.76000000164</v>
      </c>
      <c r="U31" s="18">
        <f>'Formato 6 a)'!G38</f>
        <v>28306.919999998063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420000</v>
      </c>
      <c r="Q35" s="18">
        <f>'Formato 6 a)'!C42</f>
        <v>385999.6799999997</v>
      </c>
      <c r="R35" s="18">
        <f>'Formato 6 a)'!D42</f>
        <v>805999.6799999997</v>
      </c>
      <c r="S35" s="18">
        <f>'Formato 6 a)'!E42</f>
        <v>777692.76000000164</v>
      </c>
      <c r="T35" s="18">
        <f>'Formato 6 a)'!F42</f>
        <v>777192.76000000164</v>
      </c>
      <c r="U35" s="18">
        <f>'Formato 6 a)'!G42</f>
        <v>28306.919999998063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212002</v>
      </c>
      <c r="Q41" s="18">
        <f>'Formato 6 a)'!C48</f>
        <v>7169693.8900000006</v>
      </c>
      <c r="R41" s="18">
        <f>'Formato 6 a)'!D48</f>
        <v>7381695.8900000006</v>
      </c>
      <c r="S41" s="18">
        <f>'Formato 6 a)'!E48</f>
        <v>7345163.8100000005</v>
      </c>
      <c r="T41" s="18">
        <f>'Formato 6 a)'!F48</f>
        <v>7337863.8000000007</v>
      </c>
      <c r="U41" s="18">
        <f>'Formato 6 a)'!G48</f>
        <v>36532.080000000075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92000</v>
      </c>
      <c r="Q42" s="18">
        <f>'Formato 6 a)'!C49</f>
        <v>106247.06999999999</v>
      </c>
      <c r="R42" s="18">
        <f>'Formato 6 a)'!D49</f>
        <v>198247.07</v>
      </c>
      <c r="S42" s="18">
        <f>'Formato 6 a)'!E49</f>
        <v>198246.07</v>
      </c>
      <c r="T42" s="18">
        <f>'Formato 6 a)'!F49</f>
        <v>198246.07</v>
      </c>
      <c r="U42" s="18">
        <f>'Formato 6 a)'!G49</f>
        <v>1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8000</v>
      </c>
      <c r="Q43" s="18">
        <f>'Formato 6 a)'!C50</f>
        <v>137096.08000000007</v>
      </c>
      <c r="R43" s="18">
        <f>'Formato 6 a)'!D50</f>
        <v>145096.08000000007</v>
      </c>
      <c r="S43" s="18">
        <f>'Formato 6 a)'!E50</f>
        <v>142796.08000000007</v>
      </c>
      <c r="T43" s="18">
        <f>'Formato 6 a)'!F50</f>
        <v>142796.08000000007</v>
      </c>
      <c r="U43" s="18">
        <f>'Formato 6 a)'!G50</f>
        <v>2300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5990</v>
      </c>
      <c r="R44" s="18">
        <f>'Formato 6 a)'!D51</f>
        <v>5990</v>
      </c>
      <c r="S44" s="18">
        <f>'Formato 6 a)'!E51</f>
        <v>5990</v>
      </c>
      <c r="T44" s="18">
        <f>'Formato 6 a)'!F51</f>
        <v>5990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112002</v>
      </c>
      <c r="Q47" s="18">
        <f>'Formato 6 a)'!C54</f>
        <v>6920360.7400000002</v>
      </c>
      <c r="R47" s="18">
        <f>'Formato 6 a)'!D54</f>
        <v>7032362.7400000002</v>
      </c>
      <c r="S47" s="18">
        <f>'Formato 6 a)'!E54</f>
        <v>6998131.6600000001</v>
      </c>
      <c r="T47" s="18">
        <f>'Formato 6 a)'!F54</f>
        <v>6990831.6500000004</v>
      </c>
      <c r="U47" s="18">
        <f>'Formato 6 a)'!G54</f>
        <v>34231.080000000075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24422270.720000003</v>
      </c>
      <c r="R76">
        <f>'Formato 6 a)'!D84</f>
        <v>24422270.720000003</v>
      </c>
      <c r="S76">
        <f>'Formato 6 a)'!E84</f>
        <v>24422219.75</v>
      </c>
      <c r="T76">
        <f>'Formato 6 a)'!F84</f>
        <v>24422219.75</v>
      </c>
      <c r="U76">
        <f>'Formato 6 a)'!G84</f>
        <v>50.970000000204891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313043.98</v>
      </c>
      <c r="R77">
        <f>'Formato 6 a)'!D85</f>
        <v>313043.98</v>
      </c>
      <c r="S77">
        <f>'Formato 6 a)'!E85</f>
        <v>313043.98</v>
      </c>
      <c r="T77">
        <f>'Formato 6 a)'!F85</f>
        <v>313043.98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313043.98</v>
      </c>
      <c r="R79">
        <f>'Formato 6 a)'!D87</f>
        <v>313043.98</v>
      </c>
      <c r="S79">
        <f>'Formato 6 a)'!E87</f>
        <v>313043.98</v>
      </c>
      <c r="T79">
        <f>'Formato 6 a)'!F87</f>
        <v>313043.98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3056712.08</v>
      </c>
      <c r="R85">
        <f>'Formato 6 a)'!D93</f>
        <v>3056712.08</v>
      </c>
      <c r="S85">
        <f>'Formato 6 a)'!E93</f>
        <v>3056661.11</v>
      </c>
      <c r="T85">
        <f>'Formato 6 a)'!F93</f>
        <v>3056661.11</v>
      </c>
      <c r="U85">
        <f>'Formato 6 a)'!G93</f>
        <v>50.970000000204891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14879.16</v>
      </c>
      <c r="R86">
        <f>'Formato 6 a)'!D94</f>
        <v>14879.16</v>
      </c>
      <c r="S86">
        <f>'Formato 6 a)'!E94</f>
        <v>14879.16</v>
      </c>
      <c r="T86">
        <f>'Formato 6 a)'!F94</f>
        <v>14879.16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1150</v>
      </c>
      <c r="R87">
        <f>'Formato 6 a)'!D95</f>
        <v>1150</v>
      </c>
      <c r="S87">
        <f>'Formato 6 a)'!E95</f>
        <v>1150</v>
      </c>
      <c r="T87">
        <f>'Formato 6 a)'!F95</f>
        <v>1150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578445.51</v>
      </c>
      <c r="R89">
        <f>'Formato 6 a)'!D97</f>
        <v>578445.51</v>
      </c>
      <c r="S89">
        <f>'Formato 6 a)'!E97</f>
        <v>578445.51</v>
      </c>
      <c r="T89">
        <f>'Formato 6 a)'!F97</f>
        <v>578445.51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25933.54</v>
      </c>
      <c r="R90">
        <f>'Formato 6 a)'!D98</f>
        <v>25933.54</v>
      </c>
      <c r="S90">
        <f>'Formato 6 a)'!E98</f>
        <v>25933.54</v>
      </c>
      <c r="T90">
        <f>'Formato 6 a)'!F98</f>
        <v>25933.54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1000</v>
      </c>
      <c r="R91">
        <f>'Formato 6 a)'!D99</f>
        <v>1000</v>
      </c>
      <c r="S91">
        <f>'Formato 6 a)'!E99</f>
        <v>1000</v>
      </c>
      <c r="T91">
        <f>'Formato 6 a)'!F99</f>
        <v>1000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2377186.63</v>
      </c>
      <c r="R92">
        <f>'Formato 6 a)'!D100</f>
        <v>2377186.63</v>
      </c>
      <c r="S92">
        <f>'Formato 6 a)'!E100</f>
        <v>2377135.6599999997</v>
      </c>
      <c r="T92">
        <f>'Formato 6 a)'!F100</f>
        <v>2377135.6599999997</v>
      </c>
      <c r="U92">
        <f>'Formato 6 a)'!G100</f>
        <v>50.970000000204891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58117.24</v>
      </c>
      <c r="R94">
        <f>'Formato 6 a)'!D102</f>
        <v>58117.24</v>
      </c>
      <c r="S94">
        <f>'Formato 6 a)'!E102</f>
        <v>58117.24</v>
      </c>
      <c r="T94">
        <f>'Formato 6 a)'!F102</f>
        <v>58117.24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1413643.3800000001</v>
      </c>
      <c r="R95">
        <f>'Formato 6 a)'!D103</f>
        <v>1413643.3800000001</v>
      </c>
      <c r="S95">
        <f>'Formato 6 a)'!E103</f>
        <v>1413643.3800000001</v>
      </c>
      <c r="T95">
        <f>'Formato 6 a)'!F103</f>
        <v>1413643.3800000001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119423.03999999999</v>
      </c>
      <c r="R97">
        <f>'Formato 6 a)'!D105</f>
        <v>119423.03999999999</v>
      </c>
      <c r="S97">
        <f>'Formato 6 a)'!E105</f>
        <v>119423.03999999999</v>
      </c>
      <c r="T97">
        <f>'Formato 6 a)'!F105</f>
        <v>119423.03999999999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545507.19999999995</v>
      </c>
      <c r="R98">
        <f>'Formato 6 a)'!D106</f>
        <v>545507.19999999995</v>
      </c>
      <c r="S98">
        <f>'Formato 6 a)'!E106</f>
        <v>545507.19999999995</v>
      </c>
      <c r="T98">
        <f>'Formato 6 a)'!F106</f>
        <v>545507.19999999995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34759.019999999997</v>
      </c>
      <c r="R99">
        <f>'Formato 6 a)'!D107</f>
        <v>34759.019999999997</v>
      </c>
      <c r="S99">
        <f>'Formato 6 a)'!E107</f>
        <v>34759.019999999997</v>
      </c>
      <c r="T99">
        <f>'Formato 6 a)'!F107</f>
        <v>34759.019999999997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546973.31000000006</v>
      </c>
      <c r="R100">
        <f>'Formato 6 a)'!D108</f>
        <v>546973.31000000006</v>
      </c>
      <c r="S100">
        <f>'Formato 6 a)'!E108</f>
        <v>546973.31000000006</v>
      </c>
      <c r="T100">
        <f>'Formato 6 a)'!F108</f>
        <v>546973.31000000006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6301.09</v>
      </c>
      <c r="R101">
        <f>'Formato 6 a)'!D109</f>
        <v>6301.09</v>
      </c>
      <c r="S101">
        <f>'Formato 6 a)'!E109</f>
        <v>6301.09</v>
      </c>
      <c r="T101">
        <f>'Formato 6 a)'!F109</f>
        <v>6301.09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133670.03</v>
      </c>
      <c r="R102">
        <f>'Formato 6 a)'!D110</f>
        <v>133670.03</v>
      </c>
      <c r="S102">
        <f>'Formato 6 a)'!E110</f>
        <v>133670.03</v>
      </c>
      <c r="T102">
        <f>'Formato 6 a)'!F110</f>
        <v>133670.03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19809.669999999998</v>
      </c>
      <c r="R103">
        <f>'Formato 6 a)'!D111</f>
        <v>19809.669999999998</v>
      </c>
      <c r="S103">
        <f>'Formato 6 a)'!E111</f>
        <v>19809.669999999998</v>
      </c>
      <c r="T103">
        <f>'Formato 6 a)'!F111</f>
        <v>19809.669999999998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7200.02</v>
      </c>
      <c r="R104">
        <f>'Formato 6 a)'!D112</f>
        <v>7200.02</v>
      </c>
      <c r="S104">
        <f>'Formato 6 a)'!E112</f>
        <v>7200.02</v>
      </c>
      <c r="T104">
        <f>'Formato 6 a)'!F112</f>
        <v>7200.02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16671172</v>
      </c>
      <c r="R105">
        <f>'Formato 6 a)'!D113</f>
        <v>16671172</v>
      </c>
      <c r="S105">
        <f>'Formato 6 a)'!E113</f>
        <v>16671172</v>
      </c>
      <c r="T105">
        <f>'Formato 6 a)'!F113</f>
        <v>16671172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16671172</v>
      </c>
      <c r="R109">
        <f>'Formato 6 a)'!D117</f>
        <v>16671172</v>
      </c>
      <c r="S109">
        <f>'Formato 6 a)'!E117</f>
        <v>16671172</v>
      </c>
      <c r="T109">
        <f>'Formato 6 a)'!F117</f>
        <v>16671172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2967699.2800000003</v>
      </c>
      <c r="R115">
        <f>'Formato 6 a)'!D123</f>
        <v>2967699.2800000003</v>
      </c>
      <c r="S115">
        <f>'Formato 6 a)'!E123</f>
        <v>2967699.2800000003</v>
      </c>
      <c r="T115">
        <f>'Formato 6 a)'!F123</f>
        <v>2967699.2800000003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12515.24</v>
      </c>
      <c r="R116">
        <f>'Formato 6 a)'!D124</f>
        <v>12515.24</v>
      </c>
      <c r="S116">
        <f>'Formato 6 a)'!E124</f>
        <v>12515.24</v>
      </c>
      <c r="T116">
        <f>'Formato 6 a)'!F124</f>
        <v>12515.24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1468184.04</v>
      </c>
      <c r="R117">
        <f>'Formato 6 a)'!D125</f>
        <v>1468184.04</v>
      </c>
      <c r="S117">
        <f>'Formato 6 a)'!E125</f>
        <v>1468184.04</v>
      </c>
      <c r="T117">
        <f>'Formato 6 a)'!F125</f>
        <v>1468184.04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37000</v>
      </c>
      <c r="R119">
        <f>'Formato 6 a)'!D127</f>
        <v>37000</v>
      </c>
      <c r="S119">
        <f>'Formato 6 a)'!E127</f>
        <v>37000</v>
      </c>
      <c r="T119">
        <f>'Formato 6 a)'!F127</f>
        <v>37000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1450000</v>
      </c>
      <c r="R121">
        <f>'Formato 6 a)'!D129</f>
        <v>1450000</v>
      </c>
      <c r="S121">
        <f>'Formato 6 a)'!E129</f>
        <v>1450000</v>
      </c>
      <c r="T121">
        <f>'Formato 6 a)'!F129</f>
        <v>1450000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81241179</v>
      </c>
      <c r="Q150">
        <f>'Formato 6 a)'!C159</f>
        <v>29359198.390000004</v>
      </c>
      <c r="R150">
        <f>'Formato 6 a)'!D159</f>
        <v>110600377.39</v>
      </c>
      <c r="S150">
        <f>'Formato 6 a)'!E159</f>
        <v>108007271.08</v>
      </c>
      <c r="T150">
        <f>'Formato 6 a)'!F159</f>
        <v>107547987.95</v>
      </c>
      <c r="U150">
        <f>'Formato 6 a)'!G159</f>
        <v>2593106.3099999996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58"/>
  <sheetViews>
    <sheetView showGridLines="0" topLeftCell="A26" zoomScaleNormal="100" workbookViewId="0">
      <selection activeCell="A17" sqref="A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5" t="s">
        <v>3282</v>
      </c>
      <c r="B1" s="165"/>
      <c r="C1" s="165"/>
      <c r="D1" s="165"/>
      <c r="E1" s="165"/>
      <c r="F1" s="165"/>
      <c r="G1" s="165"/>
    </row>
    <row r="2" spans="1:7" x14ac:dyDescent="0.25">
      <c r="A2" s="150" t="str">
        <f>ENTE_PUBLICO_A</f>
        <v>COMISION MUNICIPAL DE CULTURA FISICA Y DEPORTE DE LEON GUANAJUATO,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x14ac:dyDescent="0.2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x14ac:dyDescent="0.2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2" t="s">
        <v>0</v>
      </c>
      <c r="B7" s="164" t="s">
        <v>279</v>
      </c>
      <c r="C7" s="164"/>
      <c r="D7" s="164"/>
      <c r="E7" s="164"/>
      <c r="F7" s="164"/>
      <c r="G7" s="167" t="s">
        <v>280</v>
      </c>
    </row>
    <row r="8" spans="1:7" ht="30" x14ac:dyDescent="0.25">
      <c r="A8" s="16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66"/>
    </row>
    <row r="9" spans="1:7" x14ac:dyDescent="0.25">
      <c r="A9" s="52" t="s">
        <v>432</v>
      </c>
      <c r="B9" s="59">
        <f>+B10+B11+B12+B13+B14+B15+B16+B17+B18+B19+B20+B21+B22+B23+B24+B25+B26+B27+B28+B29+B30+B31+B32+B33+B34+B35+B36+B37+B38+B39+B40</f>
        <v>81241178.999999985</v>
      </c>
      <c r="C9" s="59">
        <f t="shared" ref="C9:F9" si="0">+C10+C11+C12+C13+C14+C15+C16+C17+C18+C19+C20+C21+C22+C23+C24+C25+C26+C27+C28+C29+C30+C31+C32+C33+C34+C35+C36+C37+C38+C39+C40</f>
        <v>4936927.67</v>
      </c>
      <c r="D9" s="59">
        <f t="shared" si="0"/>
        <v>86178106.669999987</v>
      </c>
      <c r="E9" s="59">
        <f t="shared" si="0"/>
        <v>83585051.49000001</v>
      </c>
      <c r="F9" s="59">
        <f t="shared" si="0"/>
        <v>83125766.419999987</v>
      </c>
      <c r="G9" s="59">
        <f>+G10+G11+G12+G13+G14+G15+G16+G17+G18+G19+G20+G21+G22+G23+G24+G25+G26+G27+G28+G29+G30+G31+G32+G33+G34+G35+G36+G37+G38+G39+G40</f>
        <v>2593055.1799999997</v>
      </c>
    </row>
    <row r="10" spans="1:7" s="24" customFormat="1" x14ac:dyDescent="0.25">
      <c r="A10" s="144" t="s">
        <v>3309</v>
      </c>
      <c r="B10" s="60">
        <v>12217490.08</v>
      </c>
      <c r="C10" s="60">
        <f>12342560.12-C44</f>
        <v>-557439.88000000082</v>
      </c>
      <c r="D10" s="60">
        <f>+B10+C10</f>
        <v>11660050.199999999</v>
      </c>
      <c r="E10" s="60">
        <f>24219028.42-E44</f>
        <v>11319028.420000002</v>
      </c>
      <c r="F10" s="60">
        <f>24180751.75-F44</f>
        <v>11280751.75</v>
      </c>
      <c r="G10" s="77">
        <f>+D10-E10</f>
        <v>341021.77999999747</v>
      </c>
    </row>
    <row r="11" spans="1:7" s="24" customFormat="1" x14ac:dyDescent="0.25">
      <c r="A11" s="144" t="s">
        <v>3296</v>
      </c>
      <c r="B11" s="60">
        <v>814279</v>
      </c>
      <c r="C11" s="60">
        <v>20182.16</v>
      </c>
      <c r="D11" s="60">
        <f t="shared" ref="D11:D40" si="1">+B11+C11</f>
        <v>834461.16</v>
      </c>
      <c r="E11" s="60">
        <v>826754.65</v>
      </c>
      <c r="F11" s="60">
        <v>823427.02</v>
      </c>
      <c r="G11" s="77">
        <f t="shared" ref="G11:G40" si="2">+D11-E11</f>
        <v>7706.5100000000093</v>
      </c>
    </row>
    <row r="12" spans="1:7" s="24" customFormat="1" x14ac:dyDescent="0.25">
      <c r="A12" s="144" t="s">
        <v>3295</v>
      </c>
      <c r="B12" s="60">
        <v>397083</v>
      </c>
      <c r="C12" s="60">
        <v>-100000</v>
      </c>
      <c r="D12" s="60">
        <f t="shared" si="1"/>
        <v>297083</v>
      </c>
      <c r="E12" s="60">
        <v>280749.68</v>
      </c>
      <c r="F12" s="60">
        <v>280749.68</v>
      </c>
      <c r="G12" s="77">
        <f t="shared" si="2"/>
        <v>16333.320000000007</v>
      </c>
    </row>
    <row r="13" spans="1:7" s="24" customFormat="1" x14ac:dyDescent="0.25">
      <c r="A13" s="144" t="s">
        <v>3310</v>
      </c>
      <c r="B13" s="60">
        <v>4033542</v>
      </c>
      <c r="C13" s="60">
        <v>-140956.21</v>
      </c>
      <c r="D13" s="60">
        <f t="shared" si="1"/>
        <v>3892585.79</v>
      </c>
      <c r="E13" s="60">
        <v>3870951.83</v>
      </c>
      <c r="F13" s="60">
        <v>3856968.83</v>
      </c>
      <c r="G13" s="77">
        <f t="shared" si="2"/>
        <v>21633.959999999963</v>
      </c>
    </row>
    <row r="14" spans="1:7" s="24" customFormat="1" x14ac:dyDescent="0.25">
      <c r="A14" s="144" t="s">
        <v>3297</v>
      </c>
      <c r="B14" s="60">
        <v>1898750</v>
      </c>
      <c r="C14" s="60">
        <f>5169651.41-C43</f>
        <v>-207705</v>
      </c>
      <c r="D14" s="60">
        <f t="shared" si="1"/>
        <v>1691045</v>
      </c>
      <c r="E14" s="60">
        <f>7047605.69-E43</f>
        <v>1670249.6000000006</v>
      </c>
      <c r="F14" s="60">
        <f>7041829.92-F43</f>
        <v>1664473.5099999998</v>
      </c>
      <c r="G14" s="77">
        <f t="shared" si="2"/>
        <v>20795.399999999441</v>
      </c>
    </row>
    <row r="15" spans="1:7" s="24" customFormat="1" x14ac:dyDescent="0.25">
      <c r="A15" s="144" t="s">
        <v>3298</v>
      </c>
      <c r="B15" s="60">
        <v>3122285</v>
      </c>
      <c r="C15" s="60">
        <f>718945.77-C45</f>
        <v>-530804.23</v>
      </c>
      <c r="D15" s="60">
        <f t="shared" si="1"/>
        <v>2591480.77</v>
      </c>
      <c r="E15" s="60">
        <f>3765928.45-E45</f>
        <v>2516178.4500000002</v>
      </c>
      <c r="F15" s="60">
        <f>3756107.08-F45</f>
        <v>2506357.08</v>
      </c>
      <c r="G15" s="77">
        <f t="shared" si="2"/>
        <v>75302.319999999832</v>
      </c>
    </row>
    <row r="16" spans="1:7" s="24" customFormat="1" x14ac:dyDescent="0.25">
      <c r="A16" s="144" t="s">
        <v>3299</v>
      </c>
      <c r="B16" s="60">
        <v>1181560</v>
      </c>
      <c r="C16" s="60">
        <v>-14010.83</v>
      </c>
      <c r="D16" s="60">
        <f t="shared" si="1"/>
        <v>1167549.17</v>
      </c>
      <c r="E16" s="60">
        <v>1123743.42</v>
      </c>
      <c r="F16" s="60">
        <v>1123743.42</v>
      </c>
      <c r="G16" s="77">
        <f t="shared" si="2"/>
        <v>43805.75</v>
      </c>
    </row>
    <row r="17" spans="1:7" s="24" customFormat="1" x14ac:dyDescent="0.25">
      <c r="A17" s="144" t="s">
        <v>3311</v>
      </c>
      <c r="B17" s="60">
        <v>455616</v>
      </c>
      <c r="C17" s="60">
        <v>-27461.34</v>
      </c>
      <c r="D17" s="60">
        <f t="shared" si="1"/>
        <v>428154.66</v>
      </c>
      <c r="E17" s="60">
        <v>410727.06</v>
      </c>
      <c r="F17" s="60">
        <v>410727.06</v>
      </c>
      <c r="G17" s="77">
        <f t="shared" si="2"/>
        <v>17427.599999999977</v>
      </c>
    </row>
    <row r="18" spans="1:7" s="24" customFormat="1" x14ac:dyDescent="0.25">
      <c r="A18" s="144" t="s">
        <v>3312</v>
      </c>
      <c r="B18" s="60">
        <v>3709355</v>
      </c>
      <c r="C18" s="60">
        <v>825946.81</v>
      </c>
      <c r="D18" s="60">
        <f t="shared" si="1"/>
        <v>4535301.8100000005</v>
      </c>
      <c r="E18" s="60">
        <v>4446604.57</v>
      </c>
      <c r="F18" s="60">
        <v>4438993.71</v>
      </c>
      <c r="G18" s="77">
        <f t="shared" si="2"/>
        <v>88697.240000000224</v>
      </c>
    </row>
    <row r="19" spans="1:7" s="24" customFormat="1" x14ac:dyDescent="0.25">
      <c r="A19" s="144" t="s">
        <v>3313</v>
      </c>
      <c r="B19" s="60">
        <v>1993781</v>
      </c>
      <c r="C19" s="60">
        <v>-607272</v>
      </c>
      <c r="D19" s="60">
        <f t="shared" si="1"/>
        <v>1386509</v>
      </c>
      <c r="E19" s="60">
        <v>1371567.47</v>
      </c>
      <c r="F19" s="60">
        <v>1371567.47</v>
      </c>
      <c r="G19" s="77">
        <f t="shared" si="2"/>
        <v>14941.530000000028</v>
      </c>
    </row>
    <row r="20" spans="1:7" s="24" customFormat="1" x14ac:dyDescent="0.25">
      <c r="A20" s="144" t="s">
        <v>3300</v>
      </c>
      <c r="B20" s="60">
        <v>1151418.06</v>
      </c>
      <c r="C20" s="60">
        <f>93586-C48+250000+100000</f>
        <v>-216339.41000000003</v>
      </c>
      <c r="D20" s="60">
        <f t="shared" si="1"/>
        <v>935078.65</v>
      </c>
      <c r="E20" s="60">
        <f>1223616.49-E48+250000+100000</f>
        <v>913739</v>
      </c>
      <c r="F20" s="60">
        <f>1221293.88-F48+250000+100000</f>
        <v>911416.3899999999</v>
      </c>
      <c r="G20" s="77">
        <f t="shared" si="2"/>
        <v>21339.650000000023</v>
      </c>
    </row>
    <row r="21" spans="1:7" s="24" customFormat="1" x14ac:dyDescent="0.25">
      <c r="A21" s="144" t="s">
        <v>3301</v>
      </c>
      <c r="B21" s="60">
        <v>2525119.4</v>
      </c>
      <c r="C21" s="60">
        <v>-329075.90000000002</v>
      </c>
      <c r="D21" s="60">
        <f t="shared" si="1"/>
        <v>2196043.5</v>
      </c>
      <c r="E21" s="60">
        <v>2118340.29</v>
      </c>
      <c r="F21" s="60">
        <v>2079525.43</v>
      </c>
      <c r="G21" s="77">
        <f t="shared" si="2"/>
        <v>77703.209999999963</v>
      </c>
    </row>
    <row r="22" spans="1:7" s="24" customFormat="1" x14ac:dyDescent="0.25">
      <c r="A22" s="144" t="s">
        <v>3314</v>
      </c>
      <c r="B22" s="60">
        <v>1495482</v>
      </c>
      <c r="C22" s="60">
        <v>-98369.88</v>
      </c>
      <c r="D22" s="60">
        <f t="shared" si="1"/>
        <v>1397112.12</v>
      </c>
      <c r="E22" s="60">
        <v>1326065.8899999999</v>
      </c>
      <c r="F22" s="60">
        <v>1324720.1499999999</v>
      </c>
      <c r="G22" s="77">
        <f t="shared" si="2"/>
        <v>71046.230000000214</v>
      </c>
    </row>
    <row r="23" spans="1:7" s="24" customFormat="1" x14ac:dyDescent="0.25">
      <c r="A23" s="144" t="s">
        <v>3302</v>
      </c>
      <c r="B23" s="60">
        <v>661360</v>
      </c>
      <c r="C23" s="60">
        <v>-219500</v>
      </c>
      <c r="D23" s="60">
        <f t="shared" si="1"/>
        <v>441860</v>
      </c>
      <c r="E23" s="60">
        <v>408436.76</v>
      </c>
      <c r="F23" s="60">
        <v>408137.76</v>
      </c>
      <c r="G23" s="77">
        <f t="shared" si="2"/>
        <v>33423.239999999991</v>
      </c>
    </row>
    <row r="24" spans="1:7" s="24" customFormat="1" x14ac:dyDescent="0.25">
      <c r="A24" s="144" t="s">
        <v>3315</v>
      </c>
      <c r="B24" s="60">
        <v>0</v>
      </c>
      <c r="C24" s="60">
        <v>3980003.92</v>
      </c>
      <c r="D24" s="60">
        <f t="shared" si="1"/>
        <v>3980003.92</v>
      </c>
      <c r="E24" s="60">
        <v>3850677.39</v>
      </c>
      <c r="F24" s="60">
        <v>3843381.1</v>
      </c>
      <c r="G24" s="77">
        <f t="shared" si="2"/>
        <v>129326.5299999998</v>
      </c>
    </row>
    <row r="25" spans="1:7" s="24" customFormat="1" x14ac:dyDescent="0.25">
      <c r="A25" s="144" t="s">
        <v>3316</v>
      </c>
      <c r="B25" s="60">
        <v>1261937</v>
      </c>
      <c r="C25" s="60">
        <f>491156-500000</f>
        <v>-8844</v>
      </c>
      <c r="D25" s="60">
        <f t="shared" si="1"/>
        <v>1253093</v>
      </c>
      <c r="E25" s="60">
        <f>1734145.58-500000</f>
        <v>1234145.58</v>
      </c>
      <c r="F25" s="60">
        <f>1731339.76-500000</f>
        <v>1231339.76</v>
      </c>
      <c r="G25" s="77">
        <f t="shared" si="2"/>
        <v>18947.419999999925</v>
      </c>
    </row>
    <row r="26" spans="1:7" s="24" customFormat="1" x14ac:dyDescent="0.25">
      <c r="A26" s="144" t="s">
        <v>3317</v>
      </c>
      <c r="B26" s="60">
        <v>0</v>
      </c>
      <c r="C26" s="60">
        <v>1330254.06</v>
      </c>
      <c r="D26" s="60">
        <f t="shared" si="1"/>
        <v>1330254.06</v>
      </c>
      <c r="E26" s="60">
        <v>1318027.83</v>
      </c>
      <c r="F26" s="60">
        <v>1318027.83</v>
      </c>
      <c r="G26" s="77">
        <f t="shared" si="2"/>
        <v>12226.229999999981</v>
      </c>
    </row>
    <row r="27" spans="1:7" s="24" customFormat="1" x14ac:dyDescent="0.25">
      <c r="A27" s="144" t="s">
        <v>3318</v>
      </c>
      <c r="B27" s="60">
        <f>337684+452042</f>
        <v>789726</v>
      </c>
      <c r="C27" s="60">
        <v>-48192.3</v>
      </c>
      <c r="D27" s="60">
        <f t="shared" si="1"/>
        <v>741533.7</v>
      </c>
      <c r="E27" s="60">
        <v>738644.32</v>
      </c>
      <c r="F27" s="60">
        <v>737994.37</v>
      </c>
      <c r="G27" s="77">
        <f t="shared" si="2"/>
        <v>2889.3800000000047</v>
      </c>
    </row>
    <row r="28" spans="1:7" s="24" customFormat="1" x14ac:dyDescent="0.25">
      <c r="A28" s="144" t="s">
        <v>3303</v>
      </c>
      <c r="B28" s="60">
        <v>1036727</v>
      </c>
      <c r="C28" s="60">
        <v>-156040.46</v>
      </c>
      <c r="D28" s="60">
        <f t="shared" si="1"/>
        <v>880686.54</v>
      </c>
      <c r="E28" s="60">
        <v>869680.54</v>
      </c>
      <c r="F28" s="60">
        <v>869680.54</v>
      </c>
      <c r="G28" s="77">
        <f t="shared" si="2"/>
        <v>11006</v>
      </c>
    </row>
    <row r="29" spans="1:7" s="24" customFormat="1" x14ac:dyDescent="0.25">
      <c r="A29" s="144" t="s">
        <v>3319</v>
      </c>
      <c r="B29" s="60">
        <v>8954195</v>
      </c>
      <c r="C29" s="60">
        <f>-391726.97+20000-5000</f>
        <v>-376726.97</v>
      </c>
      <c r="D29" s="60">
        <f t="shared" si="1"/>
        <v>8577468.0299999993</v>
      </c>
      <c r="E29" s="60">
        <f>8367634.47+11106.71-4999.83</f>
        <v>8373741.3499999996</v>
      </c>
      <c r="F29" s="60">
        <f>8365636.47+11106.71-4999.83</f>
        <v>8371743.3499999996</v>
      </c>
      <c r="G29" s="77">
        <f t="shared" si="2"/>
        <v>203726.6799999997</v>
      </c>
    </row>
    <row r="30" spans="1:7" s="24" customFormat="1" x14ac:dyDescent="0.25">
      <c r="A30" s="144" t="s">
        <v>3304</v>
      </c>
      <c r="B30" s="60">
        <f>279831+276431</f>
        <v>556262</v>
      </c>
      <c r="C30" s="60">
        <v>-231373.15</v>
      </c>
      <c r="D30" s="60">
        <f t="shared" si="1"/>
        <v>324888.84999999998</v>
      </c>
      <c r="E30" s="60">
        <v>321941.44</v>
      </c>
      <c r="F30" s="60">
        <v>319874.45</v>
      </c>
      <c r="G30" s="77">
        <f t="shared" si="2"/>
        <v>2947.4099999999744</v>
      </c>
    </row>
    <row r="31" spans="1:7" s="24" customFormat="1" x14ac:dyDescent="0.25">
      <c r="A31" s="144" t="s">
        <v>3305</v>
      </c>
      <c r="B31" s="60">
        <f>1817742+1969731.32</f>
        <v>3787473.3200000003</v>
      </c>
      <c r="C31" s="60">
        <f>519518.04-C47+2106340.24</f>
        <v>-327380.62999999942</v>
      </c>
      <c r="D31" s="60">
        <f t="shared" si="1"/>
        <v>3460092.6900000009</v>
      </c>
      <c r="E31" s="60">
        <f>4222065.13-E47+2106340.23</f>
        <v>3375167.0799999996</v>
      </c>
      <c r="F31" s="60">
        <f>4211551.35-F47+2106340.24</f>
        <v>3364652.68</v>
      </c>
      <c r="G31" s="77">
        <f t="shared" si="2"/>
        <v>84925.610000001267</v>
      </c>
    </row>
    <row r="32" spans="1:7" s="24" customFormat="1" x14ac:dyDescent="0.25">
      <c r="A32" s="144" t="s">
        <v>3320</v>
      </c>
      <c r="B32" s="60">
        <v>4594339</v>
      </c>
      <c r="C32" s="60">
        <v>1601447.08</v>
      </c>
      <c r="D32" s="60">
        <f t="shared" si="1"/>
        <v>6195786.0800000001</v>
      </c>
      <c r="E32" s="60">
        <v>6097522.6799999997</v>
      </c>
      <c r="F32" s="60">
        <v>6085503.7000000002</v>
      </c>
      <c r="G32" s="77">
        <f t="shared" si="2"/>
        <v>98263.400000000373</v>
      </c>
    </row>
    <row r="33" spans="1:7" s="24" customFormat="1" x14ac:dyDescent="0.25">
      <c r="A33" s="144" t="s">
        <v>3321</v>
      </c>
      <c r="B33" s="60">
        <v>12112217</v>
      </c>
      <c r="C33" s="60">
        <v>3882474.98</v>
      </c>
      <c r="D33" s="60">
        <f t="shared" si="1"/>
        <v>15994691.98</v>
      </c>
      <c r="E33" s="60">
        <v>15581122.369999999</v>
      </c>
      <c r="F33" s="60">
        <v>15312583.09</v>
      </c>
      <c r="G33" s="77">
        <f t="shared" si="2"/>
        <v>413569.61000000127</v>
      </c>
    </row>
    <row r="34" spans="1:7" s="24" customFormat="1" x14ac:dyDescent="0.25">
      <c r="A34" s="144" t="s">
        <v>3322</v>
      </c>
      <c r="B34" s="60">
        <v>2624413</v>
      </c>
      <c r="C34" s="60">
        <v>-403988.73</v>
      </c>
      <c r="D34" s="60">
        <f t="shared" si="1"/>
        <v>2220424.27</v>
      </c>
      <c r="E34" s="60">
        <v>1984120.12</v>
      </c>
      <c r="F34" s="60">
        <v>1960681.11</v>
      </c>
      <c r="G34" s="77">
        <f t="shared" si="2"/>
        <v>236304.14999999991</v>
      </c>
    </row>
    <row r="35" spans="1:7" s="24" customFormat="1" x14ac:dyDescent="0.25">
      <c r="A35" s="144" t="s">
        <v>3323</v>
      </c>
      <c r="B35" s="60">
        <v>1535032</v>
      </c>
      <c r="C35" s="60">
        <v>-302651.84999999998</v>
      </c>
      <c r="D35" s="60">
        <f t="shared" si="1"/>
        <v>1232380.1499999999</v>
      </c>
      <c r="E35" s="60">
        <v>1196739.7</v>
      </c>
      <c r="F35" s="60">
        <v>1196739.7</v>
      </c>
      <c r="G35" s="77">
        <f t="shared" si="2"/>
        <v>35640.449999999953</v>
      </c>
    </row>
    <row r="36" spans="1:7" s="24" customFormat="1" x14ac:dyDescent="0.25">
      <c r="A36" s="144" t="s">
        <v>3324</v>
      </c>
      <c r="B36" s="60">
        <v>2536538.14</v>
      </c>
      <c r="C36" s="60">
        <v>-337022.22</v>
      </c>
      <c r="D36" s="60">
        <f t="shared" si="1"/>
        <v>2199515.92</v>
      </c>
      <c r="E36" s="60">
        <v>1947927.48</v>
      </c>
      <c r="F36" s="60">
        <v>1943313.96</v>
      </c>
      <c r="G36" s="77">
        <f t="shared" si="2"/>
        <v>251588.43999999994</v>
      </c>
    </row>
    <row r="37" spans="1:7" s="24" customFormat="1" x14ac:dyDescent="0.25">
      <c r="A37" s="144" t="s">
        <v>3325</v>
      </c>
      <c r="B37" s="60">
        <v>1775565</v>
      </c>
      <c r="C37" s="60">
        <v>20878.77</v>
      </c>
      <c r="D37" s="60">
        <f t="shared" si="1"/>
        <v>1796443.77</v>
      </c>
      <c r="E37" s="60">
        <v>1654809.39</v>
      </c>
      <c r="F37" s="60">
        <v>1654809.39</v>
      </c>
      <c r="G37" s="77">
        <f t="shared" si="2"/>
        <v>141634.38000000012</v>
      </c>
    </row>
    <row r="38" spans="1:7" s="24" customFormat="1" x14ac:dyDescent="0.25">
      <c r="A38" s="144" t="s">
        <v>3326</v>
      </c>
      <c r="B38" s="60">
        <v>1238634</v>
      </c>
      <c r="C38" s="60">
        <v>-321616.5</v>
      </c>
      <c r="D38" s="60">
        <f t="shared" si="1"/>
        <v>917017.5</v>
      </c>
      <c r="E38" s="60">
        <v>850023.94</v>
      </c>
      <c r="F38" s="60">
        <v>846807.94</v>
      </c>
      <c r="G38" s="77">
        <f t="shared" si="2"/>
        <v>66993.560000000056</v>
      </c>
    </row>
    <row r="39" spans="1:7" s="24" customFormat="1" x14ac:dyDescent="0.25">
      <c r="A39" s="144" t="s">
        <v>3327</v>
      </c>
      <c r="B39" s="60">
        <v>791934</v>
      </c>
      <c r="C39" s="60">
        <v>-129606.9</v>
      </c>
      <c r="D39" s="60">
        <f t="shared" si="1"/>
        <v>662327.1</v>
      </c>
      <c r="E39" s="60">
        <v>630439.81999999995</v>
      </c>
      <c r="F39" s="60">
        <v>629890.81999999995</v>
      </c>
      <c r="G39" s="77">
        <f t="shared" si="2"/>
        <v>31887.280000000028</v>
      </c>
    </row>
    <row r="40" spans="1:7" s="24" customFormat="1" x14ac:dyDescent="0.25">
      <c r="A40" s="144" t="s">
        <v>3306</v>
      </c>
      <c r="B40" s="60">
        <v>1989066</v>
      </c>
      <c r="C40" s="60">
        <v>-1031881.72</v>
      </c>
      <c r="D40" s="60">
        <f t="shared" si="1"/>
        <v>957184.28</v>
      </c>
      <c r="E40" s="60">
        <v>957183.37</v>
      </c>
      <c r="F40" s="60">
        <v>957183.37</v>
      </c>
      <c r="G40" s="77">
        <f t="shared" si="2"/>
        <v>0.91000000003259629</v>
      </c>
    </row>
    <row r="41" spans="1:7" x14ac:dyDescent="0.25">
      <c r="A41" s="76" t="s">
        <v>678</v>
      </c>
      <c r="B41" s="54"/>
      <c r="C41" s="54"/>
      <c r="D41" s="54"/>
      <c r="E41" s="54"/>
      <c r="F41" s="54"/>
      <c r="G41" s="54"/>
    </row>
    <row r="42" spans="1:7" s="24" customFormat="1" x14ac:dyDescent="0.25">
      <c r="A42" s="55" t="s">
        <v>433</v>
      </c>
      <c r="B42" s="61">
        <f>+B43+B44+B45+B46+B47+B48</f>
        <v>0</v>
      </c>
      <c r="C42" s="61">
        <f t="shared" ref="C42:G42" si="3">+C43+C44+C45+C46+C47+C48</f>
        <v>24422270.73</v>
      </c>
      <c r="D42" s="61">
        <f t="shared" si="3"/>
        <v>24422270.73</v>
      </c>
      <c r="E42" s="61">
        <f t="shared" si="3"/>
        <v>24422219.759999998</v>
      </c>
      <c r="F42" s="61">
        <f t="shared" si="3"/>
        <v>24422220.709999997</v>
      </c>
      <c r="G42" s="61">
        <f t="shared" si="3"/>
        <v>50.969999999855645</v>
      </c>
    </row>
    <row r="43" spans="1:7" s="24" customFormat="1" x14ac:dyDescent="0.25">
      <c r="A43" s="144" t="s">
        <v>3307</v>
      </c>
      <c r="B43" s="60"/>
      <c r="C43" s="60">
        <f>240000+3600000+295538.04+1036818.37+40000+165000</f>
        <v>5377356.4100000001</v>
      </c>
      <c r="D43" s="60">
        <f>+B43+C43</f>
        <v>5377356.4100000001</v>
      </c>
      <c r="E43" s="60">
        <f>240000+3600000+295537.72+1036818.37+40000+165000</f>
        <v>5377356.0899999999</v>
      </c>
      <c r="F43" s="60">
        <f>240000+3600000+295538.04+1036818.37+40000+165000</f>
        <v>5377356.4100000001</v>
      </c>
      <c r="G43" s="60">
        <f t="shared" ref="G43:G47" si="4">+D43-E43</f>
        <v>0.32000000029802322</v>
      </c>
    </row>
    <row r="44" spans="1:7" s="24" customFormat="1" x14ac:dyDescent="0.25">
      <c r="A44" s="144" t="s">
        <v>3309</v>
      </c>
      <c r="B44" s="60"/>
      <c r="C44" s="60">
        <v>12900000</v>
      </c>
      <c r="D44" s="60">
        <f t="shared" ref="D44:D48" si="5">+B44+C44</f>
        <v>12900000</v>
      </c>
      <c r="E44" s="60">
        <v>12900000</v>
      </c>
      <c r="F44" s="60">
        <v>12900000</v>
      </c>
      <c r="G44" s="60">
        <f t="shared" si="4"/>
        <v>0</v>
      </c>
    </row>
    <row r="45" spans="1:7" s="24" customFormat="1" x14ac:dyDescent="0.25">
      <c r="A45" s="144" t="s">
        <v>3298</v>
      </c>
      <c r="B45" s="60"/>
      <c r="C45" s="60">
        <f>150000+1070750+29000</f>
        <v>1249750</v>
      </c>
      <c r="D45" s="60">
        <f t="shared" si="5"/>
        <v>1249750</v>
      </c>
      <c r="E45" s="60">
        <f>+C45</f>
        <v>1249750</v>
      </c>
      <c r="F45" s="60">
        <f>+E45</f>
        <v>1249750</v>
      </c>
      <c r="G45" s="60">
        <f t="shared" si="4"/>
        <v>0</v>
      </c>
    </row>
    <row r="46" spans="1:7" s="24" customFormat="1" x14ac:dyDescent="0.25">
      <c r="A46" s="144" t="s">
        <v>3330</v>
      </c>
      <c r="B46" s="60"/>
      <c r="C46" s="60">
        <f>5000+500000+727000+30000+20000</f>
        <v>1282000</v>
      </c>
      <c r="D46" s="60">
        <f t="shared" si="5"/>
        <v>1282000</v>
      </c>
      <c r="E46" s="60">
        <f>4999.83+499998.16+727000.01+29999.9+20000</f>
        <v>1281997.8999999999</v>
      </c>
      <c r="F46" s="60">
        <f>4999.83+499998.16+727000.01+29999.9+20000</f>
        <v>1281997.8999999999</v>
      </c>
      <c r="G46" s="60">
        <f t="shared" si="4"/>
        <v>2.1000000000931323</v>
      </c>
    </row>
    <row r="47" spans="1:7" s="24" customFormat="1" x14ac:dyDescent="0.25">
      <c r="A47" s="144" t="s">
        <v>3308</v>
      </c>
      <c r="B47" s="60"/>
      <c r="C47" s="60">
        <f>53940+131000+661958.67+1450000+340818.32+157760.96+157760.96</f>
        <v>2953238.9099999997</v>
      </c>
      <c r="D47" s="60">
        <f t="shared" si="5"/>
        <v>2953238.9099999997</v>
      </c>
      <c r="E47" s="60">
        <f>53940+131000+661958.06+1450000+340818.32+157760.95+157760.95</f>
        <v>2953238.2800000003</v>
      </c>
      <c r="F47" s="60">
        <f>53940+131000+661958.67+1450000+340818.32+157760.96+157760.96</f>
        <v>2953238.9099999997</v>
      </c>
      <c r="G47" s="60">
        <f t="shared" si="4"/>
        <v>0.62999999942258</v>
      </c>
    </row>
    <row r="48" spans="1:7" s="24" customFormat="1" x14ac:dyDescent="0.25">
      <c r="A48" s="144" t="s">
        <v>3300</v>
      </c>
      <c r="B48" s="60"/>
      <c r="C48" s="60">
        <f>100000+209925.41+250000+100000</f>
        <v>659925.41</v>
      </c>
      <c r="D48" s="60">
        <f t="shared" si="5"/>
        <v>659925.41</v>
      </c>
      <c r="E48" s="60">
        <f>99952.08+209925.41+250000+100000</f>
        <v>659877.49</v>
      </c>
      <c r="F48" s="60">
        <f>99952.08+209925.41+250000+100000</f>
        <v>659877.49</v>
      </c>
      <c r="G48" s="60">
        <f>+D48-E48</f>
        <v>47.92000000004191</v>
      </c>
    </row>
    <row r="49" spans="1:7" s="24" customFormat="1" x14ac:dyDescent="0.25">
      <c r="A49" s="144"/>
      <c r="B49" s="60"/>
      <c r="C49" s="60"/>
      <c r="D49" s="60"/>
      <c r="E49" s="60"/>
      <c r="F49" s="60"/>
      <c r="G49" s="60"/>
    </row>
    <row r="50" spans="1:7" x14ac:dyDescent="0.25">
      <c r="A50" s="76" t="s">
        <v>678</v>
      </c>
      <c r="B50" s="54"/>
      <c r="C50" s="54"/>
      <c r="D50" s="54"/>
      <c r="E50" s="54"/>
      <c r="F50" s="54"/>
      <c r="G50" s="54"/>
    </row>
    <row r="51" spans="1:7" x14ac:dyDescent="0.25">
      <c r="A51" s="55" t="s">
        <v>360</v>
      </c>
      <c r="B51" s="61">
        <f>+GASTO_NE_T1+GASTO_E_T1</f>
        <v>81241178.999999985</v>
      </c>
      <c r="C51" s="61">
        <f>+GASTO_NE_T2+GASTO_E_T2</f>
        <v>29359198.399999999</v>
      </c>
      <c r="D51" s="61">
        <f>+GASTO_NE_T3+GASTO_E_T3</f>
        <v>110600377.39999999</v>
      </c>
      <c r="E51" s="61">
        <f>+GASTO_NE_T4+GASTO_E_T4</f>
        <v>108007271.25</v>
      </c>
      <c r="F51" s="61">
        <f>+GASTO_NE_T5+GASTO_E_T5</f>
        <v>107547987.12999998</v>
      </c>
      <c r="G51" s="61">
        <f>+GASTO_NE_T6+GASTO_E_T6</f>
        <v>2593106.1499999994</v>
      </c>
    </row>
    <row r="52" spans="1:7" x14ac:dyDescent="0.25">
      <c r="A52" s="58"/>
      <c r="B52" s="65"/>
      <c r="C52" s="65"/>
      <c r="D52" s="65"/>
      <c r="E52" s="65"/>
      <c r="F52" s="65"/>
      <c r="G52" s="78"/>
    </row>
    <row r="53" spans="1:7" hidden="1" x14ac:dyDescent="0.25">
      <c r="A53" s="11"/>
    </row>
    <row r="54" spans="1:7" x14ac:dyDescent="0.25"/>
    <row r="55" spans="1:7" x14ac:dyDescent="0.25"/>
    <row r="56" spans="1:7" x14ac:dyDescent="0.25"/>
    <row r="57" spans="1:7" x14ac:dyDescent="0.25"/>
    <row r="58" spans="1:7" x14ac:dyDescent="0.25"/>
  </sheetData>
  <sheetProtection password="9ECF" sheet="1" objects="1" scenarios="1" insertRows="0" deleteRows="0"/>
  <dataValidations count="1">
    <dataValidation type="decimal" allowBlank="1" showInputMessage="1" showErrorMessage="1" sqref="B9:G51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5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81241178.999999985</v>
      </c>
      <c r="Q2" s="18">
        <f>GASTO_NE_T2</f>
        <v>4936927.67</v>
      </c>
      <c r="R2" s="18">
        <f>GASTO_NE_T3</f>
        <v>86178106.669999987</v>
      </c>
      <c r="S2" s="18">
        <f>GASTO_NE_T4</f>
        <v>83585051.49000001</v>
      </c>
      <c r="T2" s="18">
        <f>GASTO_NE_T5</f>
        <v>83125766.419999987</v>
      </c>
      <c r="U2" s="18">
        <f>GASTO_NE_T6</f>
        <v>2593055.1799999997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24422270.73</v>
      </c>
      <c r="R3" s="18">
        <f>GASTO_E_T3</f>
        <v>24422270.73</v>
      </c>
      <c r="S3" s="18">
        <f>GASTO_E_T4</f>
        <v>24422219.759999998</v>
      </c>
      <c r="T3" s="18">
        <f>GASTO_E_T5</f>
        <v>24422220.709999997</v>
      </c>
      <c r="U3" s="18">
        <f>GASTO_E_T6</f>
        <v>50.969999999855645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81241178.999999985</v>
      </c>
      <c r="Q4" s="18">
        <f>TOTAL_E_T2</f>
        <v>29359198.399999999</v>
      </c>
      <c r="R4" s="18">
        <f>TOTAL_E_T3</f>
        <v>110600377.39999999</v>
      </c>
      <c r="S4" s="18">
        <f>TOTAL_E_T4</f>
        <v>108007271.25</v>
      </c>
      <c r="T4" s="18">
        <f>TOTAL_E_T5</f>
        <v>107547987.12999998</v>
      </c>
      <c r="U4" s="18">
        <f>TOTAL_E_T6</f>
        <v>2593106.1499999994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topLeftCell="A45" zoomScale="90" zoomScaleNormal="90" workbookViewId="0">
      <selection activeCell="A33" sqref="A3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7" t="s">
        <v>3281</v>
      </c>
      <c r="B1" s="198"/>
      <c r="C1" s="198"/>
      <c r="D1" s="198"/>
      <c r="E1" s="198"/>
      <c r="F1" s="198"/>
      <c r="G1" s="198"/>
    </row>
    <row r="2" spans="1:7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4"/>
      <c r="G2" s="175"/>
    </row>
    <row r="3" spans="1:7" x14ac:dyDescent="0.25">
      <c r="A3" s="176" t="s">
        <v>396</v>
      </c>
      <c r="B3" s="177"/>
      <c r="C3" s="177"/>
      <c r="D3" s="177"/>
      <c r="E3" s="177"/>
      <c r="F3" s="177"/>
      <c r="G3" s="178"/>
    </row>
    <row r="4" spans="1:7" x14ac:dyDescent="0.25">
      <c r="A4" s="176" t="s">
        <v>397</v>
      </c>
      <c r="B4" s="177"/>
      <c r="C4" s="177"/>
      <c r="D4" s="177"/>
      <c r="E4" s="177"/>
      <c r="F4" s="177"/>
      <c r="G4" s="178"/>
    </row>
    <row r="5" spans="1:7" x14ac:dyDescent="0.25">
      <c r="A5" s="179" t="str">
        <f>TRIMESTRE</f>
        <v>Del 1 de enero al 31 de diciembre de 2019 (b)</v>
      </c>
      <c r="B5" s="180"/>
      <c r="C5" s="180"/>
      <c r="D5" s="180"/>
      <c r="E5" s="180"/>
      <c r="F5" s="180"/>
      <c r="G5" s="181"/>
    </row>
    <row r="6" spans="1:7" x14ac:dyDescent="0.25">
      <c r="A6" s="182" t="s">
        <v>118</v>
      </c>
      <c r="B6" s="183"/>
      <c r="C6" s="183"/>
      <c r="D6" s="183"/>
      <c r="E6" s="183"/>
      <c r="F6" s="183"/>
      <c r="G6" s="184"/>
    </row>
    <row r="7" spans="1:7" x14ac:dyDescent="0.25">
      <c r="A7" s="177" t="s">
        <v>0</v>
      </c>
      <c r="B7" s="182" t="s">
        <v>279</v>
      </c>
      <c r="C7" s="183"/>
      <c r="D7" s="183"/>
      <c r="E7" s="183"/>
      <c r="F7" s="184"/>
      <c r="G7" s="193" t="s">
        <v>3278</v>
      </c>
    </row>
    <row r="8" spans="1:7" ht="30.75" customHeight="1" x14ac:dyDescent="0.25">
      <c r="A8" s="17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92"/>
    </row>
    <row r="9" spans="1:7" x14ac:dyDescent="0.25">
      <c r="A9" s="52" t="s">
        <v>363</v>
      </c>
      <c r="B9" s="70">
        <f t="shared" ref="B9:G9" si="0">SUM(B10,B19,B27,B37)</f>
        <v>81241179</v>
      </c>
      <c r="C9" s="70">
        <f t="shared" si="0"/>
        <v>4936927.67</v>
      </c>
      <c r="D9" s="70">
        <f t="shared" si="0"/>
        <v>86178106.670000002</v>
      </c>
      <c r="E9" s="70">
        <f t="shared" si="0"/>
        <v>83585051.489999995</v>
      </c>
      <c r="F9" s="70">
        <f t="shared" si="0"/>
        <v>83125766.420000002</v>
      </c>
      <c r="G9" s="70">
        <f t="shared" si="0"/>
        <v>2593055.1800000072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 t="shared" ref="B19:G19" si="2">SUM(B20:B26)</f>
        <v>81241179</v>
      </c>
      <c r="C19" s="71">
        <f t="shared" si="2"/>
        <v>4936927.67</v>
      </c>
      <c r="D19" s="71">
        <f t="shared" si="2"/>
        <v>86178106.670000002</v>
      </c>
      <c r="E19" s="71">
        <f t="shared" si="2"/>
        <v>83585051.489999995</v>
      </c>
      <c r="F19" s="71">
        <f t="shared" si="2"/>
        <v>83125766.420000002</v>
      </c>
      <c r="G19" s="71">
        <f t="shared" si="2"/>
        <v>2593055.1800000072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>
        <v>81241179</v>
      </c>
      <c r="C23" s="71">
        <v>4936927.67</v>
      </c>
      <c r="D23" s="71">
        <f>+B23+C23</f>
        <v>86178106.670000002</v>
      </c>
      <c r="E23" s="71">
        <v>83585051.489999995</v>
      </c>
      <c r="F23" s="71">
        <v>83125766.420000002</v>
      </c>
      <c r="G23" s="72">
        <f>+D23-E23</f>
        <v>2593055.1800000072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 t="shared" ref="B27:G27" si="3">SUM(B28:B36)</f>
        <v>0</v>
      </c>
      <c r="C27" s="71"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 t="shared" ref="B37:G37" si="4">SUM(B38:B41)</f>
        <v>0</v>
      </c>
      <c r="C37" s="71">
        <f t="shared" si="4"/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 t="shared" si="4"/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5">SUM(B44,B53,B61,B71)</f>
        <v>0</v>
      </c>
      <c r="C43" s="73">
        <f t="shared" si="5"/>
        <v>24422270.73</v>
      </c>
      <c r="D43" s="73">
        <f t="shared" si="5"/>
        <v>24422270.73</v>
      </c>
      <c r="E43" s="73">
        <f t="shared" si="5"/>
        <v>24422219.760000002</v>
      </c>
      <c r="F43" s="73">
        <f t="shared" si="5"/>
        <v>24422220.710000001</v>
      </c>
      <c r="G43" s="73">
        <f t="shared" si="5"/>
        <v>50.019999999552965</v>
      </c>
    </row>
    <row r="44" spans="1:7" x14ac:dyDescent="0.25">
      <c r="A44" s="53" t="s">
        <v>430</v>
      </c>
      <c r="B44" s="72">
        <f t="shared" ref="B44:G44" si="6">SUM(B45:B52)</f>
        <v>0</v>
      </c>
      <c r="C44" s="72">
        <f t="shared" si="6"/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 t="shared" ref="B53:G53" si="7">SUM(B54:B60)</f>
        <v>0</v>
      </c>
      <c r="C53" s="71">
        <f t="shared" si="7"/>
        <v>24422270.73</v>
      </c>
      <c r="D53" s="71">
        <f t="shared" si="7"/>
        <v>24422270.73</v>
      </c>
      <c r="E53" s="71">
        <f t="shared" si="7"/>
        <v>24422219.760000002</v>
      </c>
      <c r="F53" s="71">
        <f t="shared" si="7"/>
        <v>24422220.710000001</v>
      </c>
      <c r="G53" s="71">
        <f t="shared" si="7"/>
        <v>50.019999999552965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>
        <v>0</v>
      </c>
      <c r="C57" s="71">
        <v>24422270.73</v>
      </c>
      <c r="D57" s="71">
        <f>+B57+C57</f>
        <v>24422270.73</v>
      </c>
      <c r="E57" s="71">
        <v>24422219.760000002</v>
      </c>
      <c r="F57" s="71">
        <v>24422220.710000001</v>
      </c>
      <c r="G57" s="72">
        <f>+D57-F57</f>
        <v>50.019999999552965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 t="shared" ref="B61:G61" si="8">SUM(B62:B70)</f>
        <v>0</v>
      </c>
      <c r="C61" s="71">
        <f t="shared" si="8"/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3291</v>
      </c>
      <c r="B71" s="74">
        <f t="shared" ref="B71:G71" si="9">SUM(B72:B75)</f>
        <v>0</v>
      </c>
      <c r="C71" s="74">
        <f t="shared" si="9"/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 t="shared" si="9"/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0">B43+B9</f>
        <v>81241179</v>
      </c>
      <c r="C77" s="73">
        <f t="shared" si="10"/>
        <v>29359198.399999999</v>
      </c>
      <c r="D77" s="73">
        <f t="shared" si="10"/>
        <v>110600377.40000001</v>
      </c>
      <c r="E77" s="73">
        <f t="shared" si="10"/>
        <v>108007271.25</v>
      </c>
      <c r="F77" s="73">
        <f t="shared" si="10"/>
        <v>107547987.13</v>
      </c>
      <c r="G77" s="73">
        <f t="shared" si="10"/>
        <v>2593105.2000000067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70866141732283472" right="0.31496062992125984" top="0.35433070866141736" bottom="0.35433070866141736" header="0.31496062992125984" footer="0.31496062992125984"/>
  <pageSetup scale="4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81241179</v>
      </c>
      <c r="Q2" s="18">
        <f>'Formato 6 c)'!C9</f>
        <v>4936927.67</v>
      </c>
      <c r="R2" s="18">
        <f>'Formato 6 c)'!D9</f>
        <v>86178106.670000002</v>
      </c>
      <c r="S2" s="18">
        <f>'Formato 6 c)'!E9</f>
        <v>83585051.489999995</v>
      </c>
      <c r="T2" s="18">
        <f>'Formato 6 c)'!F9</f>
        <v>83125766.420000002</v>
      </c>
      <c r="U2" s="18">
        <f>'Formato 6 c)'!G9</f>
        <v>2593055.1800000072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81241179</v>
      </c>
      <c r="Q12" s="18">
        <f>'Formato 6 c)'!C19</f>
        <v>4936927.67</v>
      </c>
      <c r="R12" s="18">
        <f>'Formato 6 c)'!D19</f>
        <v>86178106.670000002</v>
      </c>
      <c r="S12" s="18">
        <f>'Formato 6 c)'!E19</f>
        <v>83585051.489999995</v>
      </c>
      <c r="T12" s="18">
        <f>'Formato 6 c)'!F19</f>
        <v>83125766.420000002</v>
      </c>
      <c r="U12" s="18">
        <f>'Formato 6 c)'!G19</f>
        <v>2593055.1800000072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81241179</v>
      </c>
      <c r="Q16" s="18">
        <f>'Formato 6 c)'!C23</f>
        <v>4936927.67</v>
      </c>
      <c r="R16" s="18">
        <f>'Formato 6 c)'!D23</f>
        <v>86178106.670000002</v>
      </c>
      <c r="S16" s="18">
        <f>'Formato 6 c)'!E23</f>
        <v>83585051.489999995</v>
      </c>
      <c r="T16" s="18">
        <f>'Formato 6 c)'!F23</f>
        <v>83125766.420000002</v>
      </c>
      <c r="U16" s="18">
        <f>'Formato 6 c)'!G23</f>
        <v>2593055.1800000072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24422270.73</v>
      </c>
      <c r="R35" s="18">
        <f>'Formato 6 c)'!D43</f>
        <v>24422270.73</v>
      </c>
      <c r="S35" s="18">
        <f>'Formato 6 c)'!E43</f>
        <v>24422219.760000002</v>
      </c>
      <c r="T35" s="18">
        <f>'Formato 6 c)'!F43</f>
        <v>24422220.710000001</v>
      </c>
      <c r="U35" s="18">
        <f>'Formato 6 c)'!G43</f>
        <v>50.019999999552965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24422270.73</v>
      </c>
      <c r="R45" s="18">
        <f>'Formato 6 c)'!D53</f>
        <v>24422270.73</v>
      </c>
      <c r="S45" s="18">
        <f>'Formato 6 c)'!E53</f>
        <v>24422219.760000002</v>
      </c>
      <c r="T45" s="18">
        <f>'Formato 6 c)'!F53</f>
        <v>24422220.710000001</v>
      </c>
      <c r="U45" s="18">
        <f>'Formato 6 c)'!G53</f>
        <v>50.019999999552965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24422270.73</v>
      </c>
      <c r="R49" s="18">
        <f>'Formato 6 c)'!D57</f>
        <v>24422270.73</v>
      </c>
      <c r="S49" s="18">
        <f>'Formato 6 c)'!E57</f>
        <v>24422219.760000002</v>
      </c>
      <c r="T49" s="18">
        <f>'Formato 6 c)'!F57</f>
        <v>24422220.710000001</v>
      </c>
      <c r="U49" s="18">
        <f>'Formato 6 c)'!G57</f>
        <v>50.019999999552965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81241179</v>
      </c>
      <c r="Q68" s="18">
        <f>'Formato 6 c)'!C77</f>
        <v>29359198.399999999</v>
      </c>
      <c r="R68" s="18">
        <f>'Formato 6 c)'!D77</f>
        <v>110600377.40000001</v>
      </c>
      <c r="S68" s="18">
        <f>'Formato 6 c)'!E77</f>
        <v>108007271.25</v>
      </c>
      <c r="T68" s="18">
        <f>'Formato 6 c)'!F77</f>
        <v>107547987.13</v>
      </c>
      <c r="U68" s="18">
        <f>'Formato 6 c)'!G77</f>
        <v>2593105.2000000067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 CULTURA FISICA Y DEPORTE DE LEON GUANAJUATO, Gobierno del Estado de Guanajuato</v>
      </c>
    </row>
    <row r="7" spans="2:3" x14ac:dyDescent="0.25">
      <c r="C7" t="str">
        <f>CONCATENATE(ENTE_PUBLICO," (a)")</f>
        <v>COMISION MUNICIPAL DE CULTURA FISICA Y DEPORTE DE LEON GUANAJUATO,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1139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786</v>
      </c>
      <c r="C12" s="24">
        <v>2019</v>
      </c>
    </row>
    <row r="14" spans="2:3" x14ac:dyDescent="0.25">
      <c r="B14" t="s">
        <v>785</v>
      </c>
      <c r="C14" s="24" t="s">
        <v>3328</v>
      </c>
    </row>
    <row r="15" spans="2:3" x14ac:dyDescent="0.25">
      <c r="C15" s="24">
        <v>4</v>
      </c>
    </row>
    <row r="16" spans="2:3" x14ac:dyDescent="0.25">
      <c r="C16" s="24" t="s">
        <v>3329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60" x14ac:dyDescent="0.2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x14ac:dyDescent="0.2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2" zoomScale="90" zoomScaleNormal="90" workbookViewId="0">
      <selection activeCell="G33" sqref="G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91" t="s">
        <v>3279</v>
      </c>
      <c r="B1" s="190"/>
      <c r="C1" s="190"/>
      <c r="D1" s="190"/>
      <c r="E1" s="190"/>
      <c r="F1" s="190"/>
      <c r="G1" s="190"/>
    </row>
    <row r="2" spans="1:7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4"/>
      <c r="G2" s="175"/>
    </row>
    <row r="3" spans="1:7" x14ac:dyDescent="0.25">
      <c r="A3" s="179" t="s">
        <v>277</v>
      </c>
      <c r="B3" s="180"/>
      <c r="C3" s="180"/>
      <c r="D3" s="180"/>
      <c r="E3" s="180"/>
      <c r="F3" s="180"/>
      <c r="G3" s="181"/>
    </row>
    <row r="4" spans="1:7" x14ac:dyDescent="0.25">
      <c r="A4" s="179" t="s">
        <v>399</v>
      </c>
      <c r="B4" s="180"/>
      <c r="C4" s="180"/>
      <c r="D4" s="180"/>
      <c r="E4" s="180"/>
      <c r="F4" s="180"/>
      <c r="G4" s="181"/>
    </row>
    <row r="5" spans="1:7" x14ac:dyDescent="0.25">
      <c r="A5" s="179" t="str">
        <f>TRIMESTRE</f>
        <v>Del 1 de enero al 31 de diciembre de 2019 (b)</v>
      </c>
      <c r="B5" s="180"/>
      <c r="C5" s="180"/>
      <c r="D5" s="180"/>
      <c r="E5" s="180"/>
      <c r="F5" s="180"/>
      <c r="G5" s="181"/>
    </row>
    <row r="6" spans="1:7" x14ac:dyDescent="0.25">
      <c r="A6" s="182" t="s">
        <v>118</v>
      </c>
      <c r="B6" s="183"/>
      <c r="C6" s="183"/>
      <c r="D6" s="183"/>
      <c r="E6" s="183"/>
      <c r="F6" s="183"/>
      <c r="G6" s="184"/>
    </row>
    <row r="7" spans="1:7" x14ac:dyDescent="0.25">
      <c r="A7" s="187" t="s">
        <v>361</v>
      </c>
      <c r="B7" s="192" t="s">
        <v>279</v>
      </c>
      <c r="C7" s="192"/>
      <c r="D7" s="192"/>
      <c r="E7" s="192"/>
      <c r="F7" s="192"/>
      <c r="G7" s="192" t="s">
        <v>280</v>
      </c>
    </row>
    <row r="8" spans="1:7" ht="29.25" customHeight="1" x14ac:dyDescent="0.25">
      <c r="A8" s="18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9"/>
    </row>
    <row r="9" spans="1:7" x14ac:dyDescent="0.25">
      <c r="A9" s="52" t="s">
        <v>400</v>
      </c>
      <c r="B9" s="66">
        <f t="shared" ref="B9:G9" si="0">SUM(B10,B11,B12,B15,B16,B19)</f>
        <v>56841147.32</v>
      </c>
      <c r="C9" s="66">
        <f t="shared" si="0"/>
        <v>-4458700.87</v>
      </c>
      <c r="D9" s="66">
        <f t="shared" si="0"/>
        <v>52382446.450000003</v>
      </c>
      <c r="E9" s="66">
        <f t="shared" si="0"/>
        <v>51999434.080000006</v>
      </c>
      <c r="F9" s="66">
        <f t="shared" si="0"/>
        <v>51999434.080000006</v>
      </c>
      <c r="G9" s="66">
        <f t="shared" si="0"/>
        <v>383012.36999999732</v>
      </c>
    </row>
    <row r="10" spans="1:7" x14ac:dyDescent="0.25">
      <c r="A10" s="53" t="s">
        <v>401</v>
      </c>
      <c r="B10" s="67">
        <v>56841147.32</v>
      </c>
      <c r="C10" s="67">
        <f>-4145656.89-C22</f>
        <v>-4458700.87</v>
      </c>
      <c r="D10" s="67">
        <f>+B10+C10</f>
        <v>52382446.450000003</v>
      </c>
      <c r="E10" s="67">
        <f>52312478.06-E22</f>
        <v>51999434.080000006</v>
      </c>
      <c r="F10" s="67">
        <f>52312478.06-F22</f>
        <v>51999434.080000006</v>
      </c>
      <c r="G10" s="67">
        <f>+D10-E10</f>
        <v>383012.36999999732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/>
      <c r="C12" s="67"/>
      <c r="D12" s="67"/>
      <c r="E12" s="67"/>
      <c r="F12" s="67"/>
      <c r="G12" s="67"/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/>
      <c r="C16" s="67"/>
      <c r="D16" s="67"/>
      <c r="E16" s="67"/>
      <c r="F16" s="67"/>
      <c r="G16" s="67"/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1">SUM(B22,B23,B24,B27,B28,B31)</f>
        <v>0</v>
      </c>
      <c r="C21" s="66">
        <f t="shared" si="1"/>
        <v>313043.98</v>
      </c>
      <c r="D21" s="66">
        <f t="shared" si="1"/>
        <v>313043.98</v>
      </c>
      <c r="E21" s="66">
        <f t="shared" si="1"/>
        <v>313043.98</v>
      </c>
      <c r="F21" s="66">
        <f t="shared" si="1"/>
        <v>313043.98</v>
      </c>
      <c r="G21" s="66">
        <f t="shared" si="1"/>
        <v>0</v>
      </c>
    </row>
    <row r="22" spans="1:7" s="24" customFormat="1" x14ac:dyDescent="0.25">
      <c r="A22" s="53" t="s">
        <v>401</v>
      </c>
      <c r="B22" s="67"/>
      <c r="C22" s="67">
        <v>313043.98</v>
      </c>
      <c r="D22" s="67">
        <f>+B22+C22</f>
        <v>313043.98</v>
      </c>
      <c r="E22" s="67">
        <v>313043.98</v>
      </c>
      <c r="F22" s="67">
        <v>313043.98</v>
      </c>
      <c r="G22" s="67">
        <f>+D22-E22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2">B21+B9</f>
        <v>56841147.32</v>
      </c>
      <c r="C33" s="66">
        <f t="shared" si="2"/>
        <v>-4145656.89</v>
      </c>
      <c r="D33" s="66">
        <f t="shared" si="2"/>
        <v>52695490.43</v>
      </c>
      <c r="E33" s="66">
        <f t="shared" si="2"/>
        <v>52312478.060000002</v>
      </c>
      <c r="F33" s="66">
        <f t="shared" si="2"/>
        <v>52312478.060000002</v>
      </c>
      <c r="G33" s="66">
        <f t="shared" si="2"/>
        <v>383012.36999999732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scale="50" fitToHeight="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56841147.32</v>
      </c>
      <c r="Q2" s="18">
        <f>'Formato 6 d)'!C9</f>
        <v>-4458700.87</v>
      </c>
      <c r="R2" s="18">
        <f>'Formato 6 d)'!D9</f>
        <v>52382446.450000003</v>
      </c>
      <c r="S2" s="18">
        <f>'Formato 6 d)'!E9</f>
        <v>51999434.080000006</v>
      </c>
      <c r="T2" s="18">
        <f>'Formato 6 d)'!F9</f>
        <v>51999434.080000006</v>
      </c>
      <c r="U2" s="18">
        <f>'Formato 6 d)'!G9</f>
        <v>383012.36999999732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56841147.32</v>
      </c>
      <c r="Q3" s="18">
        <f>'Formato 6 d)'!C10</f>
        <v>-4458700.87</v>
      </c>
      <c r="R3" s="18">
        <f>'Formato 6 d)'!D10</f>
        <v>52382446.450000003</v>
      </c>
      <c r="S3" s="18">
        <f>'Formato 6 d)'!E10</f>
        <v>51999434.080000006</v>
      </c>
      <c r="T3" s="18">
        <f>'Formato 6 d)'!F10</f>
        <v>51999434.080000006</v>
      </c>
      <c r="U3" s="18">
        <f>'Formato 6 d)'!G10</f>
        <v>383012.36999999732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313043.98</v>
      </c>
      <c r="R13" s="18">
        <f>'Formato 6 d)'!D21</f>
        <v>313043.98</v>
      </c>
      <c r="S13" s="18">
        <f>'Formato 6 d)'!E21</f>
        <v>313043.98</v>
      </c>
      <c r="T13" s="18">
        <f>'Formato 6 d)'!F21</f>
        <v>313043.98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313043.98</v>
      </c>
      <c r="R14" s="18">
        <f>'Formato 6 d)'!D22</f>
        <v>313043.98</v>
      </c>
      <c r="S14" s="18">
        <f>'Formato 6 d)'!E22</f>
        <v>313043.98</v>
      </c>
      <c r="T14" s="18">
        <f>'Formato 6 d)'!F22</f>
        <v>313043.98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56841147.32</v>
      </c>
      <c r="Q24" s="18">
        <f>'Formato 6 d)'!C33</f>
        <v>-4145656.89</v>
      </c>
      <c r="R24" s="18">
        <f>'Formato 6 d)'!D33</f>
        <v>52695490.43</v>
      </c>
      <c r="S24" s="18">
        <f>'Formato 6 d)'!E33</f>
        <v>52312478.060000002</v>
      </c>
      <c r="T24" s="18">
        <f>'Formato 6 d)'!F33</f>
        <v>52312478.060000002</v>
      </c>
      <c r="U24" s="18">
        <f>'Formato 6 d)'!G33</f>
        <v>383012.36999999732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90" t="s">
        <v>413</v>
      </c>
      <c r="B1" s="190"/>
      <c r="C1" s="190"/>
      <c r="D1" s="190"/>
      <c r="E1" s="190"/>
      <c r="F1" s="190"/>
      <c r="G1" s="190"/>
    </row>
    <row r="2" spans="1:7" x14ac:dyDescent="0.25">
      <c r="A2" s="173" t="str">
        <f>ENTIDAD</f>
        <v>Municipio de León, Gobierno del Estado de Guanajuato</v>
      </c>
      <c r="B2" s="174"/>
      <c r="C2" s="174"/>
      <c r="D2" s="174"/>
      <c r="E2" s="174"/>
      <c r="F2" s="174"/>
      <c r="G2" s="175"/>
    </row>
    <row r="3" spans="1:7" x14ac:dyDescent="0.25">
      <c r="A3" s="176" t="s">
        <v>414</v>
      </c>
      <c r="B3" s="177"/>
      <c r="C3" s="177"/>
      <c r="D3" s="177"/>
      <c r="E3" s="177"/>
      <c r="F3" s="177"/>
      <c r="G3" s="178"/>
    </row>
    <row r="4" spans="1:7" x14ac:dyDescent="0.2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176" t="s">
        <v>415</v>
      </c>
      <c r="B5" s="177"/>
      <c r="C5" s="177"/>
      <c r="D5" s="177"/>
      <c r="E5" s="177"/>
      <c r="F5" s="177"/>
      <c r="G5" s="178"/>
    </row>
    <row r="6" spans="1:7" x14ac:dyDescent="0.25">
      <c r="A6" s="187" t="s">
        <v>3280</v>
      </c>
      <c r="B6" s="51">
        <v>2019</v>
      </c>
      <c r="C6" s="200">
        <f>2020</f>
        <v>2020</v>
      </c>
      <c r="D6" s="200">
        <v>2021</v>
      </c>
      <c r="E6" s="200">
        <v>2022</v>
      </c>
      <c r="F6" s="200">
        <v>2023</v>
      </c>
      <c r="G6" s="200">
        <v>2024</v>
      </c>
    </row>
    <row r="7" spans="1:7" ht="48" customHeight="1" x14ac:dyDescent="0.25">
      <c r="A7" s="188"/>
      <c r="B7" s="88" t="s">
        <v>3283</v>
      </c>
      <c r="C7" s="201"/>
      <c r="D7" s="201"/>
      <c r="E7" s="201"/>
      <c r="F7" s="201"/>
      <c r="G7" s="201"/>
    </row>
    <row r="8" spans="1:7" x14ac:dyDescent="0.25">
      <c r="A8" s="52" t="s">
        <v>421</v>
      </c>
      <c r="B8" s="59">
        <f t="shared" ref="B8:G8" si="0">SUM(B9:B20)</f>
        <v>81241178.989999995</v>
      </c>
      <c r="C8" s="59">
        <f t="shared" si="0"/>
        <v>83678414.359999999</v>
      </c>
      <c r="D8" s="59">
        <f t="shared" si="0"/>
        <v>86188766.790000007</v>
      </c>
      <c r="E8" s="59">
        <f t="shared" si="0"/>
        <v>88774429.780000016</v>
      </c>
      <c r="F8" s="59">
        <f t="shared" si="0"/>
        <v>91437662.689999983</v>
      </c>
      <c r="G8" s="59">
        <f t="shared" si="0"/>
        <v>94180792.569999993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100000</v>
      </c>
      <c r="C13" s="60">
        <v>103000</v>
      </c>
      <c r="D13" s="60">
        <v>106090</v>
      </c>
      <c r="E13" s="60">
        <v>109272.7</v>
      </c>
      <c r="F13" s="60">
        <v>112550.88</v>
      </c>
      <c r="G13" s="60">
        <v>115927.41</v>
      </c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>
        <v>61644921.789999999</v>
      </c>
      <c r="C15" s="60">
        <v>63494269.439999998</v>
      </c>
      <c r="D15" s="60">
        <v>65399097.530000001</v>
      </c>
      <c r="E15" s="60">
        <v>67361070.450000003</v>
      </c>
      <c r="F15" s="60">
        <v>69381902.569999993</v>
      </c>
      <c r="G15" s="60">
        <v>71463359.640000001</v>
      </c>
    </row>
    <row r="16" spans="1:7" x14ac:dyDescent="0.25">
      <c r="A16" s="53" t="s">
        <v>418</v>
      </c>
      <c r="B16" s="60">
        <v>864000</v>
      </c>
      <c r="C16" s="60">
        <v>889920</v>
      </c>
      <c r="D16" s="60">
        <v>916617.6</v>
      </c>
      <c r="E16" s="60">
        <v>944116.12</v>
      </c>
      <c r="F16" s="60">
        <v>972439.61</v>
      </c>
      <c r="G16" s="60">
        <v>1001612.8</v>
      </c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18632257.199999999</v>
      </c>
      <c r="C18" s="60">
        <v>19191224.920000002</v>
      </c>
      <c r="D18" s="60">
        <v>19766961.66</v>
      </c>
      <c r="E18" s="60">
        <v>20359970.510000002</v>
      </c>
      <c r="F18" s="60">
        <v>20970769.629999999</v>
      </c>
      <c r="G18" s="60">
        <v>21599892.719999999</v>
      </c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81241178.989999995</v>
      </c>
      <c r="C32" s="61">
        <f t="shared" si="3"/>
        <v>83678414.359999999</v>
      </c>
      <c r="D32" s="61">
        <f t="shared" si="3"/>
        <v>86188766.790000007</v>
      </c>
      <c r="E32" s="61">
        <f t="shared" si="3"/>
        <v>88774429.780000016</v>
      </c>
      <c r="F32" s="61">
        <f t="shared" si="3"/>
        <v>91437662.689999983</v>
      </c>
      <c r="G32" s="61">
        <f t="shared" si="3"/>
        <v>94180792.569999993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81241178.989999995</v>
      </c>
      <c r="Q2" s="18">
        <f>'Formato 7 a)'!C8</f>
        <v>83678414.359999999</v>
      </c>
      <c r="R2" s="18">
        <f>'Formato 7 a)'!D8</f>
        <v>86188766.790000007</v>
      </c>
      <c r="S2" s="18">
        <f>'Formato 7 a)'!E8</f>
        <v>88774429.780000016</v>
      </c>
      <c r="T2" s="18">
        <f>'Formato 7 a)'!F8</f>
        <v>91437662.689999983</v>
      </c>
      <c r="U2" s="18">
        <f>'Formato 7 a)'!G8</f>
        <v>94180792.569999993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100000</v>
      </c>
      <c r="Q7" s="18">
        <f>'Formato 7 a)'!C13</f>
        <v>103000</v>
      </c>
      <c r="R7" s="18">
        <f>'Formato 7 a)'!D13</f>
        <v>106090</v>
      </c>
      <c r="S7" s="18">
        <f>'Formato 7 a)'!E13</f>
        <v>109272.7</v>
      </c>
      <c r="T7" s="18">
        <f>'Formato 7 a)'!F13</f>
        <v>112550.88</v>
      </c>
      <c r="U7" s="18">
        <f>'Formato 7 a)'!G13</f>
        <v>115927.41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61644921.789999999</v>
      </c>
      <c r="Q9" s="18">
        <f>'Formato 7 a)'!C15</f>
        <v>63494269.439999998</v>
      </c>
      <c r="R9" s="18">
        <f>'Formato 7 a)'!D15</f>
        <v>65399097.530000001</v>
      </c>
      <c r="S9" s="18">
        <f>'Formato 7 a)'!E15</f>
        <v>67361070.450000003</v>
      </c>
      <c r="T9" s="18">
        <f>'Formato 7 a)'!F15</f>
        <v>69381902.569999993</v>
      </c>
      <c r="U9" s="18">
        <f>'Formato 7 a)'!G15</f>
        <v>71463359.640000001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864000</v>
      </c>
      <c r="Q10" s="18">
        <f>'Formato 7 a)'!C16</f>
        <v>889920</v>
      </c>
      <c r="R10" s="18">
        <f>'Formato 7 a)'!D16</f>
        <v>916617.6</v>
      </c>
      <c r="S10" s="18">
        <f>'Formato 7 a)'!E16</f>
        <v>944116.12</v>
      </c>
      <c r="T10" s="18">
        <f>'Formato 7 a)'!F16</f>
        <v>972439.61</v>
      </c>
      <c r="U10" s="18">
        <f>'Formato 7 a)'!G16</f>
        <v>1001612.8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18632257.199999999</v>
      </c>
      <c r="Q12" s="18">
        <f>'Formato 7 a)'!C18</f>
        <v>19191224.920000002</v>
      </c>
      <c r="R12" s="18">
        <f>'Formato 7 a)'!D18</f>
        <v>19766961.66</v>
      </c>
      <c r="S12" s="18">
        <f>'Formato 7 a)'!E18</f>
        <v>20359970.510000002</v>
      </c>
      <c r="T12" s="18">
        <f>'Formato 7 a)'!F18</f>
        <v>20970769.629999999</v>
      </c>
      <c r="U12" s="18">
        <f>'Formato 7 a)'!G18</f>
        <v>21599892.719999999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81241178.989999995</v>
      </c>
      <c r="Q23" s="18">
        <f>'Formato 7 a)'!C32</f>
        <v>83678414.359999999</v>
      </c>
      <c r="R23" s="18">
        <f>'Formato 7 a)'!D32</f>
        <v>86188766.790000007</v>
      </c>
      <c r="S23" s="18">
        <f>'Formato 7 a)'!E32</f>
        <v>88774429.780000016</v>
      </c>
      <c r="T23" s="18">
        <f>'Formato 7 a)'!F32</f>
        <v>91437662.689999983</v>
      </c>
      <c r="U23" s="18">
        <f>'Formato 7 a)'!G32</f>
        <v>94180792.569999993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topLeftCell="B8" zoomScale="90" zoomScaleNormal="90" workbookViewId="0">
      <selection sqref="A1:G1048576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90" t="s">
        <v>443</v>
      </c>
      <c r="B1" s="190"/>
      <c r="C1" s="190"/>
      <c r="D1" s="190"/>
      <c r="E1" s="190"/>
      <c r="F1" s="190"/>
      <c r="G1" s="190"/>
    </row>
    <row r="2" spans="1:7" customFormat="1" x14ac:dyDescent="0.25">
      <c r="A2" s="173" t="str">
        <f>ENTIDAD</f>
        <v>Municipio de León, Gobierno del Estado de Guanajuato</v>
      </c>
      <c r="B2" s="174"/>
      <c r="C2" s="174"/>
      <c r="D2" s="174"/>
      <c r="E2" s="174"/>
      <c r="F2" s="174"/>
      <c r="G2" s="175"/>
    </row>
    <row r="3" spans="1:7" customFormat="1" x14ac:dyDescent="0.25">
      <c r="A3" s="176" t="s">
        <v>444</v>
      </c>
      <c r="B3" s="177"/>
      <c r="C3" s="177"/>
      <c r="D3" s="177"/>
      <c r="E3" s="177"/>
      <c r="F3" s="177"/>
      <c r="G3" s="178"/>
    </row>
    <row r="4" spans="1:7" customFormat="1" x14ac:dyDescent="0.25">
      <c r="A4" s="176" t="s">
        <v>118</v>
      </c>
      <c r="B4" s="177"/>
      <c r="C4" s="177"/>
      <c r="D4" s="177"/>
      <c r="E4" s="177"/>
      <c r="F4" s="177"/>
      <c r="G4" s="178"/>
    </row>
    <row r="5" spans="1:7" customFormat="1" x14ac:dyDescent="0.25">
      <c r="A5" s="176" t="s">
        <v>415</v>
      </c>
      <c r="B5" s="177"/>
      <c r="C5" s="177"/>
      <c r="D5" s="177"/>
      <c r="E5" s="177"/>
      <c r="F5" s="177"/>
      <c r="G5" s="178"/>
    </row>
    <row r="6" spans="1:7" customFormat="1" x14ac:dyDescent="0.25">
      <c r="A6" s="202" t="s">
        <v>3134</v>
      </c>
      <c r="B6" s="51">
        <v>2019</v>
      </c>
      <c r="C6" s="200">
        <v>2020</v>
      </c>
      <c r="D6" s="200">
        <v>2021</v>
      </c>
      <c r="E6" s="200">
        <v>2022</v>
      </c>
      <c r="F6" s="200">
        <v>2023</v>
      </c>
      <c r="G6" s="200">
        <v>2024</v>
      </c>
    </row>
    <row r="7" spans="1:7" customFormat="1" ht="48" customHeight="1" x14ac:dyDescent="0.25">
      <c r="A7" s="203"/>
      <c r="B7" s="88" t="s">
        <v>3283</v>
      </c>
      <c r="C7" s="201"/>
      <c r="D7" s="201"/>
      <c r="E7" s="201"/>
      <c r="F7" s="201"/>
      <c r="G7" s="201"/>
    </row>
    <row r="8" spans="1:7" x14ac:dyDescent="0.25">
      <c r="A8" s="52" t="s">
        <v>445</v>
      </c>
      <c r="B8" s="59">
        <f t="shared" ref="B8:G8" si="0">SUM(B9:B17)</f>
        <v>81241179</v>
      </c>
      <c r="C8" s="59">
        <f t="shared" si="0"/>
        <v>83678414.310000002</v>
      </c>
      <c r="D8" s="59">
        <f t="shared" si="0"/>
        <v>86188766.799999997</v>
      </c>
      <c r="E8" s="59">
        <f t="shared" si="0"/>
        <v>88774429.489999995</v>
      </c>
      <c r="F8" s="59">
        <f t="shared" si="0"/>
        <v>91437662.689999998</v>
      </c>
      <c r="G8" s="59">
        <f t="shared" si="0"/>
        <v>94180792.569999993</v>
      </c>
    </row>
    <row r="9" spans="1:7" x14ac:dyDescent="0.25">
      <c r="A9" s="53" t="s">
        <v>446</v>
      </c>
      <c r="B9" s="60">
        <v>56841147.32</v>
      </c>
      <c r="C9" s="60">
        <v>58546381.740000002</v>
      </c>
      <c r="D9" s="60">
        <v>60302773.189999998</v>
      </c>
      <c r="E9" s="60">
        <v>62111856.390000001</v>
      </c>
      <c r="F9" s="60">
        <v>63975212.079999998</v>
      </c>
      <c r="G9" s="60">
        <v>65894468.439999998</v>
      </c>
    </row>
    <row r="10" spans="1:7" x14ac:dyDescent="0.25">
      <c r="A10" s="53" t="s">
        <v>447</v>
      </c>
      <c r="B10" s="60">
        <v>5678830.0599999996</v>
      </c>
      <c r="C10" s="60">
        <v>5849194.96</v>
      </c>
      <c r="D10" s="60">
        <v>6024670.8099999996</v>
      </c>
      <c r="E10" s="60">
        <v>6205410.9299999997</v>
      </c>
      <c r="F10" s="60">
        <v>6391573.2599999998</v>
      </c>
      <c r="G10" s="60">
        <v>6583320.46</v>
      </c>
    </row>
    <row r="11" spans="1:7" x14ac:dyDescent="0.25">
      <c r="A11" s="53" t="s">
        <v>448</v>
      </c>
      <c r="B11" s="60">
        <v>18089199.620000001</v>
      </c>
      <c r="C11" s="60">
        <v>18631875.609999999</v>
      </c>
      <c r="D11" s="60">
        <v>19190831.879999999</v>
      </c>
      <c r="E11" s="60">
        <v>19766556.829999998</v>
      </c>
      <c r="F11" s="60">
        <v>20359553.539999999</v>
      </c>
      <c r="G11" s="60">
        <v>20970340.140000001</v>
      </c>
    </row>
    <row r="12" spans="1:7" x14ac:dyDescent="0.25">
      <c r="A12" s="53" t="s">
        <v>449</v>
      </c>
      <c r="B12" s="60">
        <v>420000</v>
      </c>
      <c r="C12" s="60">
        <v>432600</v>
      </c>
      <c r="D12" s="60">
        <v>445578</v>
      </c>
      <c r="E12" s="60">
        <v>458945.34</v>
      </c>
      <c r="F12" s="60">
        <v>472713.7</v>
      </c>
      <c r="G12" s="60">
        <v>486895.11</v>
      </c>
    </row>
    <row r="13" spans="1:7" x14ac:dyDescent="0.25">
      <c r="A13" s="53" t="s">
        <v>450</v>
      </c>
      <c r="B13" s="60">
        <v>212002</v>
      </c>
      <c r="C13" s="60">
        <v>218362</v>
      </c>
      <c r="D13" s="60">
        <v>224912.92</v>
      </c>
      <c r="E13" s="60">
        <v>231660</v>
      </c>
      <c r="F13" s="60">
        <v>238610.11</v>
      </c>
      <c r="G13" s="60">
        <v>245768.42</v>
      </c>
    </row>
    <row r="14" spans="1:7" x14ac:dyDescent="0.25">
      <c r="A14" s="53" t="s">
        <v>451</v>
      </c>
      <c r="B14" s="60"/>
      <c r="C14" s="60"/>
      <c r="D14" s="60"/>
      <c r="E14" s="60"/>
      <c r="F14" s="60"/>
      <c r="G14" s="60"/>
    </row>
    <row r="15" spans="1:7" x14ac:dyDescent="0.25">
      <c r="A15" s="53" t="s">
        <v>452</v>
      </c>
      <c r="B15" s="60"/>
      <c r="C15" s="60"/>
      <c r="D15" s="60"/>
      <c r="E15" s="60"/>
      <c r="F15" s="60"/>
      <c r="G15" s="60"/>
    </row>
    <row r="16" spans="1:7" x14ac:dyDescent="0.25">
      <c r="A16" s="53" t="s">
        <v>453</v>
      </c>
      <c r="B16" s="60"/>
      <c r="C16" s="60"/>
      <c r="D16" s="60"/>
      <c r="E16" s="60"/>
      <c r="F16" s="60"/>
      <c r="G16" s="60"/>
    </row>
    <row r="17" spans="1:7" x14ac:dyDescent="0.25">
      <c r="A17" s="53" t="s">
        <v>454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/>
      <c r="C20" s="60"/>
      <c r="D20" s="60"/>
      <c r="E20" s="60"/>
      <c r="F20" s="60"/>
      <c r="G20" s="60"/>
    </row>
    <row r="21" spans="1:7" x14ac:dyDescent="0.25">
      <c r="A21" s="53" t="s">
        <v>447</v>
      </c>
      <c r="B21" s="60"/>
      <c r="C21" s="60"/>
      <c r="D21" s="60"/>
      <c r="E21" s="60"/>
      <c r="F21" s="60"/>
      <c r="G21" s="60"/>
    </row>
    <row r="22" spans="1:7" x14ac:dyDescent="0.25">
      <c r="A22" s="53" t="s">
        <v>448</v>
      </c>
      <c r="B22" s="60"/>
      <c r="C22" s="60"/>
      <c r="D22" s="60"/>
      <c r="E22" s="60"/>
      <c r="F22" s="60"/>
      <c r="G22" s="60"/>
    </row>
    <row r="23" spans="1:7" x14ac:dyDescent="0.25">
      <c r="A23" s="53" t="s">
        <v>449</v>
      </c>
      <c r="B23" s="60"/>
      <c r="C23" s="60"/>
      <c r="D23" s="60"/>
      <c r="E23" s="60"/>
      <c r="F23" s="60"/>
      <c r="G23" s="60"/>
    </row>
    <row r="24" spans="1:7" x14ac:dyDescent="0.25">
      <c r="A24" s="53" t="s">
        <v>450</v>
      </c>
      <c r="B24" s="60"/>
      <c r="C24" s="60"/>
      <c r="D24" s="60"/>
      <c r="E24" s="60"/>
      <c r="F24" s="60"/>
      <c r="G24" s="60"/>
    </row>
    <row r="25" spans="1:7" x14ac:dyDescent="0.25">
      <c r="A25" s="53" t="s">
        <v>451</v>
      </c>
      <c r="B25" s="60"/>
      <c r="C25" s="60"/>
      <c r="D25" s="60"/>
      <c r="E25" s="60"/>
      <c r="F25" s="60"/>
      <c r="G25" s="60"/>
    </row>
    <row r="26" spans="1:7" x14ac:dyDescent="0.25">
      <c r="A26" s="53" t="s">
        <v>452</v>
      </c>
      <c r="B26" s="60"/>
      <c r="C26" s="60"/>
      <c r="D26" s="60"/>
      <c r="E26" s="60"/>
      <c r="F26" s="60"/>
      <c r="G26" s="60"/>
    </row>
    <row r="27" spans="1:7" x14ac:dyDescent="0.25">
      <c r="A27" s="53" t="s">
        <v>456</v>
      </c>
      <c r="B27" s="60"/>
      <c r="C27" s="60"/>
      <c r="D27" s="60"/>
      <c r="E27" s="60"/>
      <c r="F27" s="60"/>
      <c r="G27" s="60"/>
    </row>
    <row r="28" spans="1:7" x14ac:dyDescent="0.25">
      <c r="A28" s="53" t="s">
        <v>454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81241179</v>
      </c>
      <c r="C30" s="61">
        <f t="shared" si="2"/>
        <v>83678414.310000002</v>
      </c>
      <c r="D30" s="61">
        <f t="shared" si="2"/>
        <v>86188766.799999997</v>
      </c>
      <c r="E30" s="61">
        <f t="shared" si="2"/>
        <v>88774429.489999995</v>
      </c>
      <c r="F30" s="61">
        <f t="shared" si="2"/>
        <v>91437662.689999998</v>
      </c>
      <c r="G30" s="61">
        <f t="shared" si="2"/>
        <v>94180792.569999993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rintOptions horizontalCentered="1"/>
  <pageMargins left="0.9055118110236221" right="0.31496062992125984" top="0.35433070866141736" bottom="0.35433070866141736" header="0.31496062992125984" footer="0.31496062992125984"/>
  <pageSetup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81241179</v>
      </c>
      <c r="Q2" s="18">
        <f>'Formato 7 b)'!C8</f>
        <v>83678414.310000002</v>
      </c>
      <c r="R2" s="18">
        <f>'Formato 7 b)'!D8</f>
        <v>86188766.799999997</v>
      </c>
      <c r="S2" s="18">
        <f>'Formato 7 b)'!E8</f>
        <v>88774429.489999995</v>
      </c>
      <c r="T2" s="18">
        <f>'Formato 7 b)'!F8</f>
        <v>91437662.689999998</v>
      </c>
      <c r="U2" s="18">
        <f>'Formato 7 b)'!G8</f>
        <v>94180792.569999993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56841147.32</v>
      </c>
      <c r="Q3" s="18">
        <f>'Formato 7 b)'!C9</f>
        <v>58546381.740000002</v>
      </c>
      <c r="R3" s="18">
        <f>'Formato 7 b)'!D9</f>
        <v>60302773.189999998</v>
      </c>
      <c r="S3" s="18">
        <f>'Formato 7 b)'!E9</f>
        <v>62111856.390000001</v>
      </c>
      <c r="T3" s="18">
        <f>'Formato 7 b)'!F9</f>
        <v>63975212.079999998</v>
      </c>
      <c r="U3" s="18">
        <f>'Formato 7 b)'!G9</f>
        <v>65894468.439999998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5678830.0599999996</v>
      </c>
      <c r="Q4" s="18">
        <f>'Formato 7 b)'!C10</f>
        <v>5849194.96</v>
      </c>
      <c r="R4" s="18">
        <f>'Formato 7 b)'!D10</f>
        <v>6024670.8099999996</v>
      </c>
      <c r="S4" s="18">
        <f>'Formato 7 b)'!E10</f>
        <v>6205410.9299999997</v>
      </c>
      <c r="T4" s="18">
        <f>'Formato 7 b)'!F10</f>
        <v>6391573.2599999998</v>
      </c>
      <c r="U4" s="18">
        <f>'Formato 7 b)'!G10</f>
        <v>6583320.46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18089199.620000001</v>
      </c>
      <c r="Q5" s="18">
        <f>'Formato 7 b)'!C11</f>
        <v>18631875.609999999</v>
      </c>
      <c r="R5" s="18">
        <f>'Formato 7 b)'!D11</f>
        <v>19190831.879999999</v>
      </c>
      <c r="S5" s="18">
        <f>'Formato 7 b)'!E11</f>
        <v>19766556.829999998</v>
      </c>
      <c r="T5" s="18">
        <f>'Formato 7 b)'!F11</f>
        <v>20359553.539999999</v>
      </c>
      <c r="U5" s="18">
        <f>'Formato 7 b)'!G11</f>
        <v>20970340.140000001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420000</v>
      </c>
      <c r="Q6" s="18">
        <f>'Formato 7 b)'!C12</f>
        <v>432600</v>
      </c>
      <c r="R6" s="18">
        <f>'Formato 7 b)'!D12</f>
        <v>445578</v>
      </c>
      <c r="S6" s="18">
        <f>'Formato 7 b)'!E12</f>
        <v>458945.34</v>
      </c>
      <c r="T6" s="18">
        <f>'Formato 7 b)'!F12</f>
        <v>472713.7</v>
      </c>
      <c r="U6" s="18">
        <f>'Formato 7 b)'!G12</f>
        <v>486895.11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212002</v>
      </c>
      <c r="Q7" s="18">
        <f>'Formato 7 b)'!C13</f>
        <v>218362</v>
      </c>
      <c r="R7" s="18">
        <f>'Formato 7 b)'!D13</f>
        <v>224912.92</v>
      </c>
      <c r="S7" s="18">
        <f>'Formato 7 b)'!E13</f>
        <v>231660</v>
      </c>
      <c r="T7" s="18">
        <f>'Formato 7 b)'!F13</f>
        <v>238610.11</v>
      </c>
      <c r="U7" s="18">
        <f>'Formato 7 b)'!G13</f>
        <v>245768.42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81241179</v>
      </c>
      <c r="Q22" s="18">
        <f>'Formato 7 b)'!C30</f>
        <v>83678414.310000002</v>
      </c>
      <c r="R22" s="18">
        <f>'Formato 7 b)'!D30</f>
        <v>86188766.799999997</v>
      </c>
      <c r="S22" s="18">
        <f>'Formato 7 b)'!E30</f>
        <v>88774429.489999995</v>
      </c>
      <c r="T22" s="18">
        <f>'Formato 7 b)'!F30</f>
        <v>91437662.689999998</v>
      </c>
      <c r="U22" s="18">
        <f>'Formato 7 b)'!G30</f>
        <v>94180792.569999993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E19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90" t="s">
        <v>458</v>
      </c>
      <c r="B1" s="190"/>
      <c r="C1" s="190"/>
      <c r="D1" s="190"/>
      <c r="E1" s="190"/>
      <c r="F1" s="190"/>
      <c r="G1" s="190"/>
    </row>
    <row r="2" spans="1:7" x14ac:dyDescent="0.25">
      <c r="A2" s="173" t="str">
        <f>ENTIDAD</f>
        <v>Municipio de León, Gobierno del Estado de Guanajuato</v>
      </c>
      <c r="B2" s="174"/>
      <c r="C2" s="174"/>
      <c r="D2" s="174"/>
      <c r="E2" s="174"/>
      <c r="F2" s="174"/>
      <c r="G2" s="175"/>
    </row>
    <row r="3" spans="1:7" x14ac:dyDescent="0.25">
      <c r="A3" s="176" t="s">
        <v>459</v>
      </c>
      <c r="B3" s="177"/>
      <c r="C3" s="177"/>
      <c r="D3" s="177"/>
      <c r="E3" s="177"/>
      <c r="F3" s="177"/>
      <c r="G3" s="178"/>
    </row>
    <row r="4" spans="1:7" x14ac:dyDescent="0.25">
      <c r="A4" s="182" t="s">
        <v>118</v>
      </c>
      <c r="B4" s="183"/>
      <c r="C4" s="183"/>
      <c r="D4" s="183"/>
      <c r="E4" s="183"/>
      <c r="F4" s="183"/>
      <c r="G4" s="184"/>
    </row>
    <row r="5" spans="1:7" x14ac:dyDescent="0.25">
      <c r="A5" s="207" t="s">
        <v>3280</v>
      </c>
      <c r="B5" s="205" t="str">
        <f>ANIO5R</f>
        <v>2014 ¹ (c)</v>
      </c>
      <c r="C5" s="205" t="str">
        <f>ANIO4R</f>
        <v>2015 ¹ (c)</v>
      </c>
      <c r="D5" s="205" t="str">
        <f>ANIO3R</f>
        <v>2016 ¹ (c)</v>
      </c>
      <c r="E5" s="205" t="str">
        <f>ANIO2R</f>
        <v>2017 ¹ (c)</v>
      </c>
      <c r="F5" s="205" t="str">
        <f>ANIO1R</f>
        <v>2018 ¹ (c)</v>
      </c>
      <c r="G5" s="51">
        <f>ANIO_INFORME</f>
        <v>2019</v>
      </c>
    </row>
    <row r="6" spans="1:7" ht="32.1" customHeight="1" x14ac:dyDescent="0.25">
      <c r="A6" s="208"/>
      <c r="B6" s="206"/>
      <c r="C6" s="206"/>
      <c r="D6" s="206"/>
      <c r="E6" s="206"/>
      <c r="F6" s="206"/>
      <c r="G6" s="88" t="s">
        <v>3286</v>
      </c>
    </row>
    <row r="7" spans="1:7" x14ac:dyDescent="0.25">
      <c r="A7" s="52" t="s">
        <v>460</v>
      </c>
      <c r="B7" s="59">
        <f t="shared" ref="B7:G7" si="0">SUM(B8:B19)</f>
        <v>62869008.049999997</v>
      </c>
      <c r="C7" s="59">
        <f t="shared" si="0"/>
        <v>74728045.599999994</v>
      </c>
      <c r="D7" s="59">
        <f t="shared" si="0"/>
        <v>73614747.390000015</v>
      </c>
      <c r="E7" s="59">
        <f t="shared" si="0"/>
        <v>75638908.079999998</v>
      </c>
      <c r="F7" s="59">
        <f t="shared" si="0"/>
        <v>80488743.539999992</v>
      </c>
      <c r="G7" s="59">
        <f t="shared" si="0"/>
        <v>107957378.00999999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/>
    </row>
    <row r="9" spans="1:7" x14ac:dyDescent="0.25">
      <c r="A9" s="53" t="s">
        <v>462</v>
      </c>
      <c r="B9" s="60"/>
      <c r="C9" s="60"/>
      <c r="D9" s="60"/>
      <c r="E9" s="60"/>
      <c r="F9" s="60"/>
      <c r="G9" s="60"/>
    </row>
    <row r="10" spans="1:7" x14ac:dyDescent="0.25">
      <c r="A10" s="53" t="s">
        <v>463</v>
      </c>
      <c r="B10" s="60"/>
      <c r="C10" s="60"/>
      <c r="D10" s="60"/>
      <c r="E10" s="60"/>
      <c r="F10" s="60"/>
      <c r="G10" s="60"/>
    </row>
    <row r="11" spans="1:7" x14ac:dyDescent="0.25">
      <c r="A11" s="53" t="s">
        <v>464</v>
      </c>
      <c r="B11" s="60"/>
      <c r="C11" s="60"/>
      <c r="D11" s="60"/>
      <c r="E11" s="60"/>
      <c r="F11" s="60"/>
      <c r="G11" s="60"/>
    </row>
    <row r="12" spans="1:7" x14ac:dyDescent="0.25">
      <c r="A12" s="53" t="s">
        <v>465</v>
      </c>
      <c r="B12" s="60"/>
      <c r="C12" s="60"/>
      <c r="D12" s="60"/>
      <c r="E12" s="60"/>
      <c r="F12" s="60"/>
      <c r="G12" s="60"/>
    </row>
    <row r="13" spans="1:7" x14ac:dyDescent="0.25">
      <c r="A13" s="56" t="s">
        <v>466</v>
      </c>
      <c r="B13" s="60"/>
      <c r="C13" s="60"/>
      <c r="D13" s="60"/>
      <c r="E13" s="60"/>
      <c r="F13" s="60"/>
      <c r="G13" s="60"/>
    </row>
    <row r="14" spans="1:7" x14ac:dyDescent="0.25">
      <c r="A14" s="53" t="s">
        <v>467</v>
      </c>
      <c r="B14" s="60">
        <v>44089388.960000001</v>
      </c>
      <c r="C14" s="60">
        <v>45039143</v>
      </c>
      <c r="D14" s="60">
        <v>47421422.920000002</v>
      </c>
      <c r="E14" s="60">
        <v>49207132.869999997</v>
      </c>
      <c r="F14" s="60">
        <v>53850704.939999998</v>
      </c>
      <c r="G14" s="60">
        <v>61222100.030000001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/>
    </row>
    <row r="16" spans="1:7" x14ac:dyDescent="0.25">
      <c r="A16" s="53" t="s">
        <v>469</v>
      </c>
      <c r="B16" s="60">
        <v>0</v>
      </c>
      <c r="C16" s="60">
        <v>0</v>
      </c>
      <c r="D16" s="60"/>
      <c r="E16" s="60">
        <v>0</v>
      </c>
      <c r="F16" s="60">
        <v>0</v>
      </c>
      <c r="G16" s="60"/>
    </row>
    <row r="17" spans="1:7" x14ac:dyDescent="0.25">
      <c r="A17" s="53" t="s">
        <v>3290</v>
      </c>
      <c r="B17" s="60">
        <v>18553457.09</v>
      </c>
      <c r="C17" s="60">
        <v>29147062.780000001</v>
      </c>
      <c r="D17" s="60">
        <v>25588508.82</v>
      </c>
      <c r="E17" s="60">
        <v>25455322.68</v>
      </c>
      <c r="F17" s="60">
        <v>25045026.300000001</v>
      </c>
      <c r="G17" s="60">
        <v>46735277.979999997</v>
      </c>
    </row>
    <row r="18" spans="1:7" x14ac:dyDescent="0.25">
      <c r="A18" s="53" t="s">
        <v>470</v>
      </c>
      <c r="B18" s="60">
        <v>226162</v>
      </c>
      <c r="C18" s="60">
        <v>541839.81999999995</v>
      </c>
      <c r="D18" s="60">
        <v>604815.65</v>
      </c>
      <c r="E18" s="60">
        <v>976452.53</v>
      </c>
      <c r="F18" s="60">
        <v>1593012.3</v>
      </c>
      <c r="G18" s="60"/>
    </row>
    <row r="19" spans="1:7" x14ac:dyDescent="0.25">
      <c r="A19" s="53" t="s">
        <v>471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/>
    </row>
    <row r="23" spans="1:7" x14ac:dyDescent="0.25">
      <c r="A23" s="53" t="s">
        <v>473</v>
      </c>
      <c r="B23" s="60"/>
      <c r="C23" s="60"/>
      <c r="D23" s="60"/>
      <c r="E23" s="60"/>
      <c r="F23" s="60"/>
      <c r="G23" s="60"/>
    </row>
    <row r="24" spans="1:7" x14ac:dyDescent="0.25">
      <c r="A24" s="53" t="s">
        <v>474</v>
      </c>
      <c r="B24" s="60"/>
      <c r="C24" s="60"/>
      <c r="D24" s="60"/>
      <c r="E24" s="60"/>
      <c r="F24" s="60"/>
      <c r="G24" s="60"/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62869008.049999997</v>
      </c>
      <c r="C31" s="61">
        <f t="shared" si="3"/>
        <v>74728045.599999994</v>
      </c>
      <c r="D31" s="61">
        <f t="shared" si="3"/>
        <v>73614747.390000015</v>
      </c>
      <c r="E31" s="61">
        <f t="shared" si="3"/>
        <v>75638908.079999998</v>
      </c>
      <c r="F31" s="61">
        <f t="shared" si="3"/>
        <v>80488743.539999992</v>
      </c>
      <c r="G31" s="61">
        <f t="shared" si="3"/>
        <v>107957378.00999999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/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4" t="s">
        <v>3284</v>
      </c>
      <c r="B39" s="204"/>
      <c r="C39" s="204"/>
      <c r="D39" s="204"/>
      <c r="E39" s="204"/>
      <c r="F39" s="204"/>
      <c r="G39" s="204"/>
    </row>
    <row r="40" spans="1:7" ht="15" customHeight="1" x14ac:dyDescent="0.25">
      <c r="A40" s="204" t="s">
        <v>3285</v>
      </c>
      <c r="B40" s="204"/>
      <c r="C40" s="204"/>
      <c r="D40" s="204"/>
      <c r="E40" s="204"/>
      <c r="F40" s="204"/>
      <c r="G40" s="20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rintOptions horizontalCentered="1"/>
  <pageMargins left="0.9055118110236221" right="0.31496062992125984" top="0.74803149606299213" bottom="0.74803149606299213" header="0.31496062992125984" footer="0.31496062992125984"/>
  <pageSetup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62869008.049999997</v>
      </c>
      <c r="Q2" s="18">
        <f>'Formato 7 c)'!C7</f>
        <v>74728045.599999994</v>
      </c>
      <c r="R2" s="18">
        <f>'Formato 7 c)'!D7</f>
        <v>73614747.390000015</v>
      </c>
      <c r="S2" s="18">
        <f>'Formato 7 c)'!E7</f>
        <v>75638908.079999998</v>
      </c>
      <c r="T2" s="18">
        <f>'Formato 7 c)'!F7</f>
        <v>80488743.539999992</v>
      </c>
      <c r="U2" s="18">
        <f>'Formato 7 c)'!G7</f>
        <v>107957378.00999999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44089388.960000001</v>
      </c>
      <c r="Q9" s="18">
        <f>'Formato 7 c)'!C14</f>
        <v>45039143</v>
      </c>
      <c r="R9" s="18">
        <f>'Formato 7 c)'!D14</f>
        <v>47421422.920000002</v>
      </c>
      <c r="S9" s="18">
        <f>'Formato 7 c)'!E14</f>
        <v>49207132.869999997</v>
      </c>
      <c r="T9" s="18">
        <f>'Formato 7 c)'!F14</f>
        <v>53850704.939999998</v>
      </c>
      <c r="U9" s="18">
        <f>'Formato 7 c)'!G14</f>
        <v>61222100.030000001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18553457.09</v>
      </c>
      <c r="Q12" s="18">
        <f>'Formato 7 c)'!C17</f>
        <v>29147062.780000001</v>
      </c>
      <c r="R12" s="18">
        <f>'Formato 7 c)'!D17</f>
        <v>25588508.82</v>
      </c>
      <c r="S12" s="18">
        <f>'Formato 7 c)'!E17</f>
        <v>25455322.68</v>
      </c>
      <c r="T12" s="18">
        <f>'Formato 7 c)'!F17</f>
        <v>25045026.300000001</v>
      </c>
      <c r="U12" s="18">
        <f>'Formato 7 c)'!G17</f>
        <v>46735277.979999997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226162</v>
      </c>
      <c r="Q13" s="18">
        <f>'Formato 7 c)'!C18</f>
        <v>541839.81999999995</v>
      </c>
      <c r="R13" s="18">
        <f>'Formato 7 c)'!D18</f>
        <v>604815.65</v>
      </c>
      <c r="S13" s="18">
        <f>'Formato 7 c)'!E18</f>
        <v>976452.53</v>
      </c>
      <c r="T13" s="18">
        <f>'Formato 7 c)'!F18</f>
        <v>1593012.3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62869008.049999997</v>
      </c>
      <c r="Q23" s="18">
        <f>'Formato 7 c)'!C31</f>
        <v>74728045.599999994</v>
      </c>
      <c r="R23" s="18">
        <f>'Formato 7 c)'!D31</f>
        <v>73614747.390000015</v>
      </c>
      <c r="S23" s="18">
        <f>'Formato 7 c)'!E31</f>
        <v>75638908.079999998</v>
      </c>
      <c r="T23" s="18">
        <f>'Formato 7 c)'!F31</f>
        <v>80488743.539999992</v>
      </c>
      <c r="U23" s="18">
        <f>'Formato 7 c)'!G31</f>
        <v>107957378.00999999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pane xSplit="1" ySplit="7" topLeftCell="F26" activePane="bottomRight" state="frozen"/>
      <selection pane="topRight" activeCell="B1" sqref="B1"/>
      <selection pane="bottomLeft" activeCell="A8" sqref="A8"/>
      <selection pane="bottomRight" activeCell="G16" sqref="G1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90" t="s">
        <v>482</v>
      </c>
      <c r="B1" s="190"/>
      <c r="C1" s="190"/>
      <c r="D1" s="190"/>
      <c r="E1" s="190"/>
      <c r="F1" s="190"/>
      <c r="G1" s="190"/>
    </row>
    <row r="2" spans="1:7" x14ac:dyDescent="0.25">
      <c r="A2" s="173" t="str">
        <f>ENTIDAD</f>
        <v>Municipio de León, Gobierno del Estado de Guanajuato</v>
      </c>
      <c r="B2" s="174"/>
      <c r="C2" s="174"/>
      <c r="D2" s="174"/>
      <c r="E2" s="174"/>
      <c r="F2" s="174"/>
      <c r="G2" s="175"/>
    </row>
    <row r="3" spans="1:7" x14ac:dyDescent="0.25">
      <c r="A3" s="176" t="s">
        <v>483</v>
      </c>
      <c r="B3" s="177"/>
      <c r="C3" s="177"/>
      <c r="D3" s="177"/>
      <c r="E3" s="177"/>
      <c r="F3" s="177"/>
      <c r="G3" s="178"/>
    </row>
    <row r="4" spans="1:7" x14ac:dyDescent="0.25">
      <c r="A4" s="182" t="s">
        <v>118</v>
      </c>
      <c r="B4" s="183"/>
      <c r="C4" s="183"/>
      <c r="D4" s="183"/>
      <c r="E4" s="183"/>
      <c r="F4" s="183"/>
      <c r="G4" s="184"/>
    </row>
    <row r="5" spans="1:7" x14ac:dyDescent="0.25">
      <c r="A5" s="209" t="s">
        <v>3134</v>
      </c>
      <c r="B5" s="205" t="str">
        <f>ANIO5R</f>
        <v>2014 ¹ (c)</v>
      </c>
      <c r="C5" s="205" t="str">
        <f>ANIO4R</f>
        <v>2015 ¹ (c)</v>
      </c>
      <c r="D5" s="205" t="str">
        <f>ANIO3R</f>
        <v>2016 ¹ (c)</v>
      </c>
      <c r="E5" s="205" t="str">
        <f>ANIO2R</f>
        <v>2017 ¹ (c)</v>
      </c>
      <c r="F5" s="205" t="str">
        <f>ANIO1R</f>
        <v>2018 ¹ (c)</v>
      </c>
      <c r="G5" s="51">
        <f>ANIO_INFORME</f>
        <v>2019</v>
      </c>
    </row>
    <row r="6" spans="1:7" ht="32.1" customHeight="1" x14ac:dyDescent="0.25">
      <c r="A6" s="210"/>
      <c r="B6" s="206"/>
      <c r="C6" s="206"/>
      <c r="D6" s="206"/>
      <c r="E6" s="206"/>
      <c r="F6" s="206"/>
      <c r="G6" s="88" t="s">
        <v>3287</v>
      </c>
    </row>
    <row r="7" spans="1:7" x14ac:dyDescent="0.25">
      <c r="A7" s="52" t="s">
        <v>484</v>
      </c>
      <c r="B7" s="59">
        <f t="shared" ref="B7:G7" si="0">SUM(B8:B16)</f>
        <v>50870337.809999995</v>
      </c>
      <c r="C7" s="59">
        <f t="shared" si="0"/>
        <v>66191213.269999996</v>
      </c>
      <c r="D7" s="59">
        <f t="shared" si="0"/>
        <v>70928397.859999985</v>
      </c>
      <c r="E7" s="59">
        <f t="shared" si="0"/>
        <v>72274409.429999992</v>
      </c>
      <c r="F7" s="59">
        <f t="shared" si="0"/>
        <v>71363261.790000007</v>
      </c>
      <c r="G7" s="59">
        <f t="shared" si="0"/>
        <v>83585051.360000014</v>
      </c>
    </row>
    <row r="8" spans="1:7" x14ac:dyDescent="0.25">
      <c r="A8" s="53" t="s">
        <v>446</v>
      </c>
      <c r="B8" s="60">
        <v>33961636.259999998</v>
      </c>
      <c r="C8" s="60">
        <v>42482868.689999998</v>
      </c>
      <c r="D8" s="60">
        <v>45976362.979999997</v>
      </c>
      <c r="E8" s="60">
        <v>45259201.93</v>
      </c>
      <c r="F8" s="60">
        <v>46513483.799999997</v>
      </c>
      <c r="G8" s="60">
        <f>52312478.08-G19</f>
        <v>51999434.100000001</v>
      </c>
    </row>
    <row r="9" spans="1:7" x14ac:dyDescent="0.25">
      <c r="A9" s="53" t="s">
        <v>447</v>
      </c>
      <c r="B9" s="60">
        <v>5745533.9400000004</v>
      </c>
      <c r="C9" s="60">
        <v>5215749.5199999996</v>
      </c>
      <c r="D9" s="60">
        <v>6166899.9500000002</v>
      </c>
      <c r="E9" s="60">
        <v>6927998.1799999997</v>
      </c>
      <c r="F9" s="60">
        <v>6686509.75</v>
      </c>
      <c r="G9" s="60">
        <f>9255048.82-G20</f>
        <v>6198387.7100000009</v>
      </c>
    </row>
    <row r="10" spans="1:7" x14ac:dyDescent="0.25">
      <c r="A10" s="53" t="s">
        <v>448</v>
      </c>
      <c r="B10" s="60">
        <v>9888599.2300000004</v>
      </c>
      <c r="C10" s="60">
        <v>16059791.039999999</v>
      </c>
      <c r="D10" s="60">
        <v>15239746.619999999</v>
      </c>
      <c r="E10" s="60">
        <v>16149751.689999999</v>
      </c>
      <c r="F10" s="60">
        <v>16271232.699999999</v>
      </c>
      <c r="G10" s="60">
        <f>18678016.35-G21</f>
        <v>17264372.970000003</v>
      </c>
    </row>
    <row r="11" spans="1:7" x14ac:dyDescent="0.25">
      <c r="A11" s="53" t="s">
        <v>449</v>
      </c>
      <c r="B11" s="60">
        <v>539138.29</v>
      </c>
      <c r="C11" s="60">
        <v>1615368.95</v>
      </c>
      <c r="D11" s="60">
        <v>2382144.46</v>
      </c>
      <c r="E11" s="60">
        <v>3098330.88</v>
      </c>
      <c r="F11" s="60">
        <v>672859.81</v>
      </c>
      <c r="G11" s="60">
        <f>17448864.76-G22</f>
        <v>777692.76000000164</v>
      </c>
    </row>
    <row r="12" spans="1:7" x14ac:dyDescent="0.25">
      <c r="A12" s="53" t="s">
        <v>450</v>
      </c>
      <c r="B12" s="60">
        <v>735430.09</v>
      </c>
      <c r="C12" s="60">
        <v>817435.07</v>
      </c>
      <c r="D12" s="60">
        <v>1163243.8500000001</v>
      </c>
      <c r="E12" s="60">
        <v>839126.75</v>
      </c>
      <c r="F12" s="60">
        <v>1219175.73</v>
      </c>
      <c r="G12" s="60">
        <f>10312863.1-G23</f>
        <v>7345163.8200000003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/>
    </row>
    <row r="14" spans="1:7" x14ac:dyDescent="0.25">
      <c r="A14" s="53" t="s">
        <v>452</v>
      </c>
      <c r="B14" s="60"/>
      <c r="C14" s="60"/>
      <c r="D14" s="60"/>
      <c r="E14" s="60"/>
      <c r="F14" s="60"/>
      <c r="G14" s="60"/>
    </row>
    <row r="15" spans="1:7" x14ac:dyDescent="0.25">
      <c r="A15" s="53" t="s">
        <v>453</v>
      </c>
      <c r="B15" s="60"/>
      <c r="C15" s="60"/>
      <c r="D15" s="60"/>
      <c r="E15" s="60"/>
      <c r="F15" s="60"/>
      <c r="G15" s="60"/>
    </row>
    <row r="16" spans="1:7" x14ac:dyDescent="0.25">
      <c r="A16" s="53" t="s">
        <v>454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12101918.51</v>
      </c>
      <c r="C18" s="61">
        <f t="shared" si="1"/>
        <v>11102857.42</v>
      </c>
      <c r="D18" s="61">
        <f t="shared" si="1"/>
        <v>7261593.6400000006</v>
      </c>
      <c r="E18" s="61">
        <f t="shared" si="1"/>
        <v>2501638.19</v>
      </c>
      <c r="F18" s="61">
        <f t="shared" si="1"/>
        <v>7756436.0100000007</v>
      </c>
      <c r="G18" s="61">
        <f t="shared" si="1"/>
        <v>24422219.75</v>
      </c>
    </row>
    <row r="19" spans="1:7" x14ac:dyDescent="0.25">
      <c r="A19" s="53" t="s">
        <v>446</v>
      </c>
      <c r="B19" s="60">
        <v>4746953.8</v>
      </c>
      <c r="C19" s="60">
        <v>393865.78</v>
      </c>
      <c r="D19" s="60">
        <v>471196.19</v>
      </c>
      <c r="E19" s="60">
        <v>142304.54999999999</v>
      </c>
      <c r="F19" s="60">
        <v>158213.17000000001</v>
      </c>
      <c r="G19" s="60">
        <v>313043.98</v>
      </c>
    </row>
    <row r="20" spans="1:7" x14ac:dyDescent="0.25">
      <c r="A20" s="53" t="s">
        <v>447</v>
      </c>
      <c r="B20" s="60">
        <v>2648525.2799999998</v>
      </c>
      <c r="C20" s="60">
        <v>1226872.74</v>
      </c>
      <c r="D20" s="60">
        <v>817746.09</v>
      </c>
      <c r="E20" s="60">
        <v>1111485.95</v>
      </c>
      <c r="F20" s="60">
        <v>1792329.32</v>
      </c>
      <c r="G20" s="60">
        <v>3056661.11</v>
      </c>
    </row>
    <row r="21" spans="1:7" x14ac:dyDescent="0.25">
      <c r="A21" s="53" t="s">
        <v>448</v>
      </c>
      <c r="B21" s="60">
        <v>3179616.74</v>
      </c>
      <c r="C21" s="60">
        <v>4116895.54</v>
      </c>
      <c r="D21" s="60">
        <v>1911734.75</v>
      </c>
      <c r="E21" s="60">
        <v>398908.69</v>
      </c>
      <c r="F21" s="60">
        <v>1101408.1200000001</v>
      </c>
      <c r="G21" s="60">
        <v>1413643.38</v>
      </c>
    </row>
    <row r="22" spans="1:7" x14ac:dyDescent="0.25">
      <c r="A22" s="53" t="s">
        <v>449</v>
      </c>
      <c r="B22" s="60">
        <v>1501302.69</v>
      </c>
      <c r="C22" s="60">
        <v>3952298.01</v>
      </c>
      <c r="D22" s="60">
        <v>3776499.21</v>
      </c>
      <c r="E22" s="60">
        <v>805547</v>
      </c>
      <c r="F22" s="60">
        <v>4150000</v>
      </c>
      <c r="G22" s="60">
        <v>16671172</v>
      </c>
    </row>
    <row r="23" spans="1:7" x14ac:dyDescent="0.25">
      <c r="A23" s="53" t="s">
        <v>450</v>
      </c>
      <c r="B23" s="60">
        <v>25520</v>
      </c>
      <c r="C23" s="60">
        <v>1412925.35</v>
      </c>
      <c r="D23" s="60">
        <v>284417.40000000002</v>
      </c>
      <c r="E23" s="60">
        <v>43392</v>
      </c>
      <c r="F23" s="60">
        <v>554485.4</v>
      </c>
      <c r="G23" s="60">
        <v>2967699.28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/>
    </row>
    <row r="25" spans="1:7" x14ac:dyDescent="0.25">
      <c r="A25" s="53" t="s">
        <v>452</v>
      </c>
      <c r="B25" s="60"/>
      <c r="C25" s="60"/>
      <c r="D25" s="60"/>
      <c r="E25" s="60"/>
      <c r="F25" s="60"/>
      <c r="G25" s="60"/>
    </row>
    <row r="26" spans="1:7" x14ac:dyDescent="0.25">
      <c r="A26" s="53" t="s">
        <v>456</v>
      </c>
      <c r="B26" s="60"/>
      <c r="C26" s="60"/>
      <c r="D26" s="60"/>
      <c r="E26" s="60"/>
      <c r="F26" s="60"/>
      <c r="G26" s="60"/>
    </row>
    <row r="27" spans="1:7" x14ac:dyDescent="0.25">
      <c r="A27" s="53" t="s">
        <v>454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62972256.319999993</v>
      </c>
      <c r="C29" s="60">
        <f t="shared" si="2"/>
        <v>77294070.689999998</v>
      </c>
      <c r="D29" s="60">
        <f t="shared" si="2"/>
        <v>78189991.499999985</v>
      </c>
      <c r="E29" s="60">
        <f t="shared" si="2"/>
        <v>74776047.61999999</v>
      </c>
      <c r="F29" s="60">
        <f t="shared" si="2"/>
        <v>79119697.800000012</v>
      </c>
      <c r="G29" s="60">
        <f t="shared" si="2"/>
        <v>108007271.11000001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4" t="s">
        <v>3284</v>
      </c>
      <c r="B32" s="204"/>
      <c r="C32" s="204"/>
      <c r="D32" s="204"/>
      <c r="E32" s="204"/>
      <c r="F32" s="204"/>
      <c r="G32" s="204"/>
    </row>
    <row r="33" spans="1:7" x14ac:dyDescent="0.25">
      <c r="A33" s="204" t="s">
        <v>3285</v>
      </c>
      <c r="B33" s="204"/>
      <c r="C33" s="204"/>
      <c r="D33" s="204"/>
      <c r="E33" s="204"/>
      <c r="F33" s="204"/>
      <c r="G33" s="20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9055118110236221" right="0.70866141732283472" top="0.74803149606299213" bottom="0.74803149606299213" header="0.31496062992125984" footer="0.31496062992125984"/>
  <pageSetup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50870337.809999995</v>
      </c>
      <c r="Q2" s="18">
        <f>'Formato 7 d)'!C7</f>
        <v>66191213.269999996</v>
      </c>
      <c r="R2" s="18">
        <f>'Formato 7 d)'!D7</f>
        <v>70928397.859999985</v>
      </c>
      <c r="S2" s="18">
        <f>'Formato 7 d)'!E7</f>
        <v>72274409.429999992</v>
      </c>
      <c r="T2" s="18">
        <f>'Formato 7 d)'!F7</f>
        <v>71363261.790000007</v>
      </c>
      <c r="U2" s="18">
        <f>'Formato 7 d)'!G7</f>
        <v>83585051.360000014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33961636.259999998</v>
      </c>
      <c r="Q3" s="18">
        <f>'Formato 7 d)'!C8</f>
        <v>42482868.689999998</v>
      </c>
      <c r="R3" s="18">
        <f>'Formato 7 d)'!D8</f>
        <v>45976362.979999997</v>
      </c>
      <c r="S3" s="18">
        <f>'Formato 7 d)'!E8</f>
        <v>45259201.93</v>
      </c>
      <c r="T3" s="18">
        <f>'Formato 7 d)'!F8</f>
        <v>46513483.799999997</v>
      </c>
      <c r="U3" s="18">
        <f>'Formato 7 d)'!G8</f>
        <v>51999434.100000001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5745533.9400000004</v>
      </c>
      <c r="Q4" s="18">
        <f>'Formato 7 d)'!C9</f>
        <v>5215749.5199999996</v>
      </c>
      <c r="R4" s="18">
        <f>'Formato 7 d)'!D9</f>
        <v>6166899.9500000002</v>
      </c>
      <c r="S4" s="18">
        <f>'Formato 7 d)'!E9</f>
        <v>6927998.1799999997</v>
      </c>
      <c r="T4" s="18">
        <f>'Formato 7 d)'!F9</f>
        <v>6686509.75</v>
      </c>
      <c r="U4" s="18">
        <f>'Formato 7 d)'!G9</f>
        <v>6198387.7100000009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9888599.2300000004</v>
      </c>
      <c r="Q5" s="18">
        <f>'Formato 7 d)'!C10</f>
        <v>16059791.039999999</v>
      </c>
      <c r="R5" s="18">
        <f>'Formato 7 d)'!D10</f>
        <v>15239746.619999999</v>
      </c>
      <c r="S5" s="18">
        <f>'Formato 7 d)'!E10</f>
        <v>16149751.689999999</v>
      </c>
      <c r="T5" s="18">
        <f>'Formato 7 d)'!F10</f>
        <v>16271232.699999999</v>
      </c>
      <c r="U5" s="18">
        <f>'Formato 7 d)'!G10</f>
        <v>17264372.970000003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539138.29</v>
      </c>
      <c r="Q6" s="18">
        <f>'Formato 7 d)'!C11</f>
        <v>1615368.95</v>
      </c>
      <c r="R6" s="18">
        <f>'Formato 7 d)'!D11</f>
        <v>2382144.46</v>
      </c>
      <c r="S6" s="18">
        <f>'Formato 7 d)'!E11</f>
        <v>3098330.88</v>
      </c>
      <c r="T6" s="18">
        <f>'Formato 7 d)'!F11</f>
        <v>672859.81</v>
      </c>
      <c r="U6" s="18">
        <f>'Formato 7 d)'!G11</f>
        <v>777692.76000000164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735430.09</v>
      </c>
      <c r="Q7" s="18">
        <f>'Formato 7 d)'!C12</f>
        <v>817435.07</v>
      </c>
      <c r="R7" s="18">
        <f>'Formato 7 d)'!D12</f>
        <v>1163243.8500000001</v>
      </c>
      <c r="S7" s="18">
        <f>'Formato 7 d)'!E12</f>
        <v>839126.75</v>
      </c>
      <c r="T7" s="18">
        <f>'Formato 7 d)'!F12</f>
        <v>1219175.73</v>
      </c>
      <c r="U7" s="18">
        <f>'Formato 7 d)'!G12</f>
        <v>7345163.8200000003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12101918.51</v>
      </c>
      <c r="Q12" s="18">
        <f>'Formato 7 d)'!C18</f>
        <v>11102857.42</v>
      </c>
      <c r="R12" s="18">
        <f>'Formato 7 d)'!D18</f>
        <v>7261593.6400000006</v>
      </c>
      <c r="S12" s="18">
        <f>'Formato 7 d)'!E18</f>
        <v>2501638.19</v>
      </c>
      <c r="T12" s="18">
        <f>'Formato 7 d)'!F18</f>
        <v>7756436.0100000007</v>
      </c>
      <c r="U12" s="18">
        <f>'Formato 7 d)'!G18</f>
        <v>24422219.75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4746953.8</v>
      </c>
      <c r="Q13" s="18">
        <f>'Formato 7 d)'!C19</f>
        <v>393865.78</v>
      </c>
      <c r="R13" s="18">
        <f>'Formato 7 d)'!D19</f>
        <v>471196.19</v>
      </c>
      <c r="S13" s="18">
        <f>'Formato 7 d)'!E19</f>
        <v>142304.54999999999</v>
      </c>
      <c r="T13" s="18">
        <f>'Formato 7 d)'!F19</f>
        <v>158213.17000000001</v>
      </c>
      <c r="U13" s="18">
        <f>'Formato 7 d)'!G19</f>
        <v>313043.98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2648525.2799999998</v>
      </c>
      <c r="Q14" s="18">
        <f>'Formato 7 d)'!C20</f>
        <v>1226872.74</v>
      </c>
      <c r="R14" s="18">
        <f>'Formato 7 d)'!D20</f>
        <v>817746.09</v>
      </c>
      <c r="S14" s="18">
        <f>'Formato 7 d)'!E20</f>
        <v>1111485.95</v>
      </c>
      <c r="T14" s="18">
        <f>'Formato 7 d)'!F20</f>
        <v>1792329.32</v>
      </c>
      <c r="U14" s="18">
        <f>'Formato 7 d)'!G20</f>
        <v>3056661.11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3179616.74</v>
      </c>
      <c r="Q15" s="18">
        <f>'Formato 7 d)'!C21</f>
        <v>4116895.54</v>
      </c>
      <c r="R15" s="18">
        <f>'Formato 7 d)'!D21</f>
        <v>1911734.75</v>
      </c>
      <c r="S15" s="18">
        <f>'Formato 7 d)'!E21</f>
        <v>398908.69</v>
      </c>
      <c r="T15" s="18">
        <f>'Formato 7 d)'!F21</f>
        <v>1101408.1200000001</v>
      </c>
      <c r="U15" s="18">
        <f>'Formato 7 d)'!G21</f>
        <v>1413643.38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1501302.69</v>
      </c>
      <c r="Q16" s="18">
        <f>'Formato 7 d)'!C22</f>
        <v>3952298.01</v>
      </c>
      <c r="R16" s="18">
        <f>'Formato 7 d)'!D22</f>
        <v>3776499.21</v>
      </c>
      <c r="S16" s="18">
        <f>'Formato 7 d)'!E22</f>
        <v>805547</v>
      </c>
      <c r="T16" s="18">
        <f>'Formato 7 d)'!F22</f>
        <v>4150000</v>
      </c>
      <c r="U16" s="18">
        <f>'Formato 7 d)'!G22</f>
        <v>16671172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25520</v>
      </c>
      <c r="Q17" s="18">
        <f>'Formato 7 d)'!C23</f>
        <v>1412925.35</v>
      </c>
      <c r="R17" s="18">
        <f>'Formato 7 d)'!D23</f>
        <v>284417.40000000002</v>
      </c>
      <c r="S17" s="18">
        <f>'Formato 7 d)'!E23</f>
        <v>43392</v>
      </c>
      <c r="T17" s="18">
        <f>'Formato 7 d)'!F23</f>
        <v>554485.4</v>
      </c>
      <c r="U17" s="18">
        <f>'Formato 7 d)'!G23</f>
        <v>2967699.28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62972256.319999993</v>
      </c>
      <c r="Q22" s="18">
        <f>'Formato 7 d)'!C29</f>
        <v>77294070.689999998</v>
      </c>
      <c r="R22" s="18">
        <f>'Formato 7 d)'!D29</f>
        <v>78189991.499999985</v>
      </c>
      <c r="S22" s="18">
        <f>'Formato 7 d)'!E29</f>
        <v>74776047.61999999</v>
      </c>
      <c r="T22" s="18">
        <f>'Formato 7 d)'!F29</f>
        <v>79119697.800000012</v>
      </c>
      <c r="U22" s="18">
        <f>'Formato 7 d)'!G29</f>
        <v>108007271.11000001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topLeftCell="A28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2" t="s">
        <v>487</v>
      </c>
      <c r="B1" s="172"/>
      <c r="C1" s="172"/>
      <c r="D1" s="172"/>
      <c r="E1" s="172"/>
      <c r="F1" s="172"/>
      <c r="G1" s="111"/>
    </row>
    <row r="2" spans="1:7" x14ac:dyDescent="0.25">
      <c r="A2" s="173" t="str">
        <f>ENTE_PUBLICO</f>
        <v>COMISION MUNICIPAL DE CULTURA FISICA Y DEPORTE DE LEON GUANAJUATO, Gobierno del Estado de Guanajuato</v>
      </c>
      <c r="B2" s="174"/>
      <c r="C2" s="174"/>
      <c r="D2" s="174"/>
      <c r="E2" s="174"/>
      <c r="F2" s="175"/>
    </row>
    <row r="3" spans="1:7" x14ac:dyDescent="0.25">
      <c r="A3" s="182" t="s">
        <v>488</v>
      </c>
      <c r="B3" s="183"/>
      <c r="C3" s="183"/>
      <c r="D3" s="183"/>
      <c r="E3" s="183"/>
      <c r="F3" s="18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rintOptions horizontalCentered="1"/>
  <pageMargins left="0.9055118110236221" right="0.9055118110236221" top="0.94488188976377963" bottom="0.74803149606299213" header="0.31496062992125984" footer="0.31496062992125984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 t="e">
        <f>#REF!</f>
        <v>#REF!</v>
      </c>
      <c r="Q4" s="18" t="e">
        <f>#REF!</f>
        <v>#REF!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 t="e">
        <f>#REF!</f>
        <v>#REF!</v>
      </c>
      <c r="Q5" s="18" t="e">
        <f>#REF!</f>
        <v>#REF!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 t="e">
        <f>#REF!</f>
        <v>#REF!</v>
      </c>
      <c r="Q6" s="18" t="e">
        <f>#REF!</f>
        <v>#REF!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 t="e">
        <f>#REF!</f>
        <v>#REF!</v>
      </c>
      <c r="Q7" s="18" t="e">
        <f>#REF!</f>
        <v>#REF!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 t="e">
        <f>#REF!</f>
        <v>#REF!</v>
      </c>
      <c r="Q8" s="18" t="e">
        <f>#REF!</f>
        <v>#REF!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 t="e">
        <f>#REF!</f>
        <v>#REF!</v>
      </c>
      <c r="Q9" s="18" t="e">
        <f>#REF!</f>
        <v>#REF!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 t="e">
        <f>#REF!</f>
        <v>#REF!</v>
      </c>
      <c r="Q10" s="18" t="e">
        <f>#REF!</f>
        <v>#REF!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 t="e">
        <f>#REF!</f>
        <v>#REF!</v>
      </c>
      <c r="Q11" s="18" t="e">
        <f>#REF!</f>
        <v>#REF!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 t="e">
        <f>#REF!</f>
        <v>#REF!</v>
      </c>
      <c r="Q12" s="18" t="e">
        <f>#REF!</f>
        <v>#REF!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 t="e">
        <f>#REF!</f>
        <v>#REF!</v>
      </c>
      <c r="Q13" s="18" t="e">
        <f>#REF!</f>
        <v>#REF!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 t="e">
        <f>#REF!</f>
        <v>#REF!</v>
      </c>
      <c r="Q14" s="18" t="e">
        <f>#REF!</f>
        <v>#REF!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 t="e">
        <f>#REF!</f>
        <v>#REF!</v>
      </c>
      <c r="Q15" s="18" t="e">
        <f>#REF!</f>
        <v>#REF!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 t="e">
        <f>#REF!</f>
        <v>#REF!</v>
      </c>
      <c r="Q16" s="18" t="e">
        <f>#REF!</f>
        <v>#REF!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 t="e">
        <f>#REF!</f>
        <v>#REF!</v>
      </c>
      <c r="Q17" s="18" t="e">
        <f>#REF!</f>
        <v>#REF!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 t="e">
        <f>#REF!</f>
        <v>#REF!</v>
      </c>
      <c r="Q18" s="18" t="e">
        <f>#REF!</f>
        <v>#REF!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 t="e">
        <f>#REF!</f>
        <v>#REF!</v>
      </c>
      <c r="Q19" s="18" t="e">
        <f>#REF!</f>
        <v>#REF!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 t="e">
        <f>#REF!</f>
        <v>#REF!</v>
      </c>
      <c r="Q20" s="18" t="e">
        <f>#REF!</f>
        <v>#REF!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 t="e">
        <f>#REF!</f>
        <v>#REF!</v>
      </c>
      <c r="Q21" s="18" t="e">
        <f>#REF!</f>
        <v>#REF!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 t="e">
        <f>#REF!</f>
        <v>#REF!</v>
      </c>
      <c r="Q22" s="18" t="e">
        <f>#REF!</f>
        <v>#REF!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 t="e">
        <f>#REF!</f>
        <v>#REF!</v>
      </c>
      <c r="Q23" s="18" t="e">
        <f>#REF!</f>
        <v>#REF!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 t="e">
        <f>#REF!</f>
        <v>#REF!</v>
      </c>
      <c r="Q24" s="18" t="e">
        <f>#REF!</f>
        <v>#REF!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 t="e">
        <f>#REF!</f>
        <v>#REF!</v>
      </c>
      <c r="Q25" s="18" t="e">
        <f>#REF!</f>
        <v>#REF!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 t="e">
        <f>#REF!</f>
        <v>#REF!</v>
      </c>
      <c r="Q26" s="18" t="e">
        <f>#REF!</f>
        <v>#REF!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 t="e">
        <f>#REF!</f>
        <v>#REF!</v>
      </c>
      <c r="Q27" s="18" t="e">
        <f>#REF!</f>
        <v>#REF!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 t="e">
        <f>#REF!</f>
        <v>#REF!</v>
      </c>
      <c r="Q28" s="18" t="e">
        <f>#REF!</f>
        <v>#REF!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 t="e">
        <f>#REF!</f>
        <v>#REF!</v>
      </c>
      <c r="Q29" s="18" t="e">
        <f>#REF!</f>
        <v>#REF!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 t="e">
        <f>#REF!</f>
        <v>#REF!</v>
      </c>
      <c r="Q30" s="18" t="e">
        <f>#REF!</f>
        <v>#REF!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 t="e">
        <f>#REF!</f>
        <v>#REF!</v>
      </c>
      <c r="Q31" s="18" t="e">
        <f>#REF!</f>
        <v>#REF!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 t="e">
        <f>#REF!</f>
        <v>#REF!</v>
      </c>
      <c r="Q32" s="18" t="e">
        <f>#REF!</f>
        <v>#REF!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 t="e">
        <f>#REF!</f>
        <v>#REF!</v>
      </c>
      <c r="Q33" s="18" t="e">
        <f>#REF!</f>
        <v>#REF!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 t="e">
        <f>#REF!</f>
        <v>#REF!</v>
      </c>
      <c r="Q34" s="18" t="e">
        <f>#REF!</f>
        <v>#REF!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 t="e">
        <f>#REF!</f>
        <v>#REF!</v>
      </c>
      <c r="Q35" s="18" t="e">
        <f>#REF!</f>
        <v>#REF!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 t="e">
        <f>#REF!</f>
        <v>#REF!</v>
      </c>
      <c r="Q36" s="18" t="e">
        <f>#REF!</f>
        <v>#REF!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 t="e">
        <f>#REF!</f>
        <v>#REF!</v>
      </c>
      <c r="Q37" s="18" t="e">
        <f>#REF!</f>
        <v>#REF!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 t="e">
        <f>#REF!</f>
        <v>#REF!</v>
      </c>
      <c r="Q38" s="18" t="e">
        <f>#REF!</f>
        <v>#REF!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 t="e">
        <f>#REF!</f>
        <v>#REF!</v>
      </c>
      <c r="Q39" s="18" t="e">
        <f>#REF!</f>
        <v>#REF!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 t="e">
        <f>#REF!</f>
        <v>#REF!</v>
      </c>
      <c r="Q40" s="18" t="e">
        <f>#REF!</f>
        <v>#REF!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 t="e">
        <f>#REF!</f>
        <v>#REF!</v>
      </c>
      <c r="Q41" s="18" t="e">
        <f>#REF!</f>
        <v>#REF!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 t="e">
        <f>#REF!</f>
        <v>#REF!</v>
      </c>
      <c r="Q42" s="18" t="e">
        <f>#REF!</f>
        <v>#REF!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 t="e">
        <f>#REF!</f>
        <v>#REF!</v>
      </c>
      <c r="Q44" t="e">
        <f>#REF!</f>
        <v>#REF!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 t="e">
        <f>#REF!</f>
        <v>#REF!</v>
      </c>
      <c r="Q45" t="e">
        <f>#REF!</f>
        <v>#REF!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 t="e">
        <f>#REF!</f>
        <v>#REF!</v>
      </c>
      <c r="Q46" t="e">
        <f>#REF!</f>
        <v>#REF!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 t="e">
        <f>#REF!</f>
        <v>#REF!</v>
      </c>
      <c r="Q47" t="e">
        <f>#REF!</f>
        <v>#REF!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 t="e">
        <f>#REF!</f>
        <v>#REF!</v>
      </c>
      <c r="Q48" t="e">
        <f>#REF!</f>
        <v>#REF!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 t="e">
        <f>#REF!</f>
        <v>#REF!</v>
      </c>
      <c r="Q49" t="e">
        <f>#REF!</f>
        <v>#REF!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 t="e">
        <f>#REF!</f>
        <v>#REF!</v>
      </c>
      <c r="Q50" t="e">
        <f>#REF!</f>
        <v>#REF!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 t="e">
        <f>#REF!</f>
        <v>#REF!</v>
      </c>
      <c r="Q51" t="e">
        <f>#REF!</f>
        <v>#REF!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 t="e">
        <f>#REF!</f>
        <v>#REF!</v>
      </c>
      <c r="Q52" t="e">
        <f>#REF!</f>
        <v>#REF!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 t="e">
        <f>#REF!</f>
        <v>#REF!</v>
      </c>
      <c r="Q53" t="e">
        <f>#REF!</f>
        <v>#REF!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 t="e">
        <f>#REF!</f>
        <v>#REF!</v>
      </c>
      <c r="Q54" t="e">
        <f>#REF!</f>
        <v>#REF!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 t="e">
        <f>#REF!</f>
        <v>#REF!</v>
      </c>
      <c r="Q57" t="e">
        <f>#REF!</f>
        <v>#REF!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 t="e">
        <f>#REF!</f>
        <v>#REF!</v>
      </c>
      <c r="Q58" t="e">
        <f>#REF!</f>
        <v>#REF!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 t="e">
        <f>#REF!</f>
        <v>#REF!</v>
      </c>
      <c r="Q59" t="e">
        <f>#REF!</f>
        <v>#REF!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 t="e">
        <f>#REF!</f>
        <v>#REF!</v>
      </c>
      <c r="Q60" t="e">
        <f>#REF!</f>
        <v>#REF!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 t="e">
        <f>#REF!</f>
        <v>#REF!</v>
      </c>
      <c r="Q61" t="e">
        <f>#REF!</f>
        <v>#REF!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 t="e">
        <f>#REF!</f>
        <v>#REF!</v>
      </c>
      <c r="Q62" t="e">
        <f>#REF!</f>
        <v>#REF!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 t="e">
        <f>#REF!</f>
        <v>#REF!</v>
      </c>
      <c r="Q63" t="e">
        <f>#REF!</f>
        <v>#REF!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 t="e">
        <f>#REF!</f>
        <v>#REF!</v>
      </c>
      <c r="Q64" t="e">
        <f>#REF!</f>
        <v>#REF!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 t="e">
        <f>#REF!</f>
        <v>#REF!</v>
      </c>
      <c r="Q65" t="e">
        <f>#REF!</f>
        <v>#REF!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 t="e">
        <f>#REF!</f>
        <v>#REF!</v>
      </c>
      <c r="Q66" t="e">
        <f>#REF!</f>
        <v>#REF!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 t="e">
        <f>#REF!</f>
        <v>#REF!</v>
      </c>
      <c r="Q67" t="e">
        <f>#REF!</f>
        <v>#REF!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 t="e">
        <f>#REF!</f>
        <v>#REF!</v>
      </c>
      <c r="Q68" t="e">
        <f>#REF!</f>
        <v>#REF!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 t="e">
        <f>#REF!</f>
        <v>#REF!</v>
      </c>
      <c r="Q69" t="e">
        <f>#REF!</f>
        <v>#REF!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 t="e">
        <f>#REF!</f>
        <v>#REF!</v>
      </c>
      <c r="Q70" t="e">
        <f>#REF!</f>
        <v>#REF!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 t="e">
        <f>#REF!</f>
        <v>#REF!</v>
      </c>
      <c r="Q71" t="e">
        <f>#REF!</f>
        <v>#REF!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 t="e">
        <f>#REF!</f>
        <v>#REF!</v>
      </c>
      <c r="Q72" t="e">
        <f>#REF!</f>
        <v>#REF!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 t="e">
        <f>#REF!</f>
        <v>#REF!</v>
      </c>
      <c r="Q73" t="e">
        <f>#REF!</f>
        <v>#REF!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 t="e">
        <f>#REF!</f>
        <v>#REF!</v>
      </c>
      <c r="Q74" t="e">
        <f>#REF!</f>
        <v>#REF!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 t="e">
        <f>#REF!</f>
        <v>#REF!</v>
      </c>
      <c r="Q75" t="e">
        <f>#REF!</f>
        <v>#REF!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 t="e">
        <f>#REF!</f>
        <v>#REF!</v>
      </c>
      <c r="Q76" t="e">
        <f>#REF!</f>
        <v>#REF!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 t="e">
        <f>#REF!</f>
        <v>#REF!</v>
      </c>
      <c r="Q77" t="e">
        <f>#REF!</f>
        <v>#REF!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 t="e">
        <f>#REF!</f>
        <v>#REF!</v>
      </c>
      <c r="Q78" t="e">
        <f>#REF!</f>
        <v>#REF!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 t="e">
        <f>#REF!</f>
        <v>#REF!</v>
      </c>
      <c r="Q79" t="e">
        <f>#REF!</f>
        <v>#REF!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 t="e">
        <f>#REF!</f>
        <v>#REF!</v>
      </c>
      <c r="Q80" t="e">
        <f>#REF!</f>
        <v>#REF!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 t="e">
        <f>#REF!</f>
        <v>#REF!</v>
      </c>
      <c r="Q81" t="e">
        <f>#REF!</f>
        <v>#REF!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 t="e">
        <f>#REF!</f>
        <v>#REF!</v>
      </c>
      <c r="Q82" t="e">
        <f>#REF!</f>
        <v>#REF!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 t="e">
        <f>#REF!</f>
        <v>#REF!</v>
      </c>
      <c r="Q83" t="e">
        <f>#REF!</f>
        <v>#REF!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 t="e">
        <f>#REF!</f>
        <v>#REF!</v>
      </c>
      <c r="Q84" t="e">
        <f>#REF!</f>
        <v>#REF!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 t="e">
        <f>#REF!</f>
        <v>#REF!</v>
      </c>
      <c r="Q85" t="e">
        <f>#REF!</f>
        <v>#REF!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 t="e">
        <f>#REF!</f>
        <v>#REF!</v>
      </c>
      <c r="Q86" t="e">
        <f>#REF!</f>
        <v>#REF!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 t="e">
        <f>#REF!</f>
        <v>#REF!</v>
      </c>
      <c r="Q87" t="e">
        <f>#REF!</f>
        <v>#REF!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 t="e">
        <f>#REF!</f>
        <v>#REF!</v>
      </c>
      <c r="Q88" t="e">
        <f>#REF!</f>
        <v>#REF!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 t="e">
        <f>#REF!</f>
        <v>#REF!</v>
      </c>
      <c r="Q89" t="e">
        <f>#REF!</f>
        <v>#REF!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 t="e">
        <f>#REF!</f>
        <v>#REF!</v>
      </c>
      <c r="Q90" t="e">
        <f>#REF!</f>
        <v>#REF!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 t="e">
        <f>#REF!</f>
        <v>#REF!</v>
      </c>
      <c r="Q91" t="e">
        <f>#REF!</f>
        <v>#REF!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 t="e">
        <f>#REF!</f>
        <v>#REF!</v>
      </c>
      <c r="Q92" t="e">
        <f>#REF!</f>
        <v>#REF!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 t="e">
        <f>#REF!</f>
        <v>#REF!</v>
      </c>
      <c r="Q93" t="e">
        <f>#REF!</f>
        <v>#REF!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 t="e">
        <f>#REF!</f>
        <v>#REF!</v>
      </c>
      <c r="Q94" t="e">
        <f>#REF!</f>
        <v>#REF!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 t="e">
        <f>#REF!</f>
        <v>#REF!</v>
      </c>
      <c r="Q95" t="e">
        <f>#REF!</f>
        <v>#REF!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 t="e">
        <f>#REF!</f>
        <v>#REF!</v>
      </c>
      <c r="Q97" t="e">
        <f>#REF!</f>
        <v>#REF!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 t="e">
        <f>#REF!</f>
        <v>#REF!</v>
      </c>
      <c r="Q98" t="e">
        <f>#REF!</f>
        <v>#REF!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 t="e">
        <f>#REF!</f>
        <v>#REF!</v>
      </c>
      <c r="Q99" t="e">
        <f>#REF!</f>
        <v>#REF!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 t="e">
        <f>#REF!</f>
        <v>#REF!</v>
      </c>
      <c r="Q100" t="e">
        <f>#REF!</f>
        <v>#REF!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 t="e">
        <f>#REF!</f>
        <v>#REF!</v>
      </c>
      <c r="Q101" t="e">
        <f>#REF!</f>
        <v>#REF!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 t="e">
        <f>#REF!</f>
        <v>#REF!</v>
      </c>
      <c r="Q102" t="e">
        <f>#REF!</f>
        <v>#REF!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 t="e">
        <f>#REF!</f>
        <v>#REF!</v>
      </c>
      <c r="Q103" t="e">
        <f>#REF!</f>
        <v>#REF!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 t="e">
        <f>#REF!</f>
        <v>#REF!</v>
      </c>
      <c r="Q104" t="e">
        <f>#REF!</f>
        <v>#REF!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 t="e">
        <f>#REF!</f>
        <v>#REF!</v>
      </c>
      <c r="Q106" t="e">
        <f>#REF!</f>
        <v>#REF!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 t="e">
        <f>#REF!</f>
        <v>#REF!</v>
      </c>
      <c r="Q107" t="e">
        <f>#REF!</f>
        <v>#REF!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 t="e">
        <f>#REF!</f>
        <v>#REF!</v>
      </c>
      <c r="Q108" t="e">
        <f>#REF!</f>
        <v>#REF!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 t="e">
        <f>#REF!</f>
        <v>#REF!</v>
      </c>
      <c r="Q109" t="e">
        <f>#REF!</f>
        <v>#REF!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 t="e">
        <f>#REF!</f>
        <v>#REF!</v>
      </c>
      <c r="Q110" t="e">
        <f>#REF!</f>
        <v>#REF!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 t="e">
        <f>#REF!</f>
        <v>#REF!</v>
      </c>
      <c r="Q111" t="e">
        <f>#REF!</f>
        <v>#REF!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 t="e">
        <f>#REF!</f>
        <v>#REF!</v>
      </c>
      <c r="Q112" t="e">
        <f>#REF!</f>
        <v>#REF!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 t="e">
        <f>#REF!</f>
        <v>#REF!</v>
      </c>
      <c r="Q113" t="e">
        <f>#REF!</f>
        <v>#REF!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 t="e">
        <f>#REF!</f>
        <v>#REF!</v>
      </c>
      <c r="Q114" t="e">
        <f>#REF!</f>
        <v>#REF!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 t="e">
        <f>#REF!</f>
        <v>#REF!</v>
      </c>
      <c r="Q115" t="e">
        <f>#REF!</f>
        <v>#REF!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 t="e">
        <f>#REF!</f>
        <v>#REF!</v>
      </c>
      <c r="Q116" t="e">
        <f>#REF!</f>
        <v>#REF!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 t="e">
        <f>#REF!</f>
        <v>#REF!</v>
      </c>
      <c r="Q117" t="e">
        <f>#REF!</f>
        <v>#REF!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 t="e">
        <f>#REF!</f>
        <v>#REF!</v>
      </c>
      <c r="Q118" t="e">
        <f>#REF!</f>
        <v>#REF!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 t="e">
        <f>#REF!</f>
        <v>#REF!</v>
      </c>
      <c r="Q119" t="e">
        <f>#REF!</f>
        <v>#REF!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 t="e">
        <f>#REF!</f>
        <v>#REF!</v>
      </c>
      <c r="Q120" t="e">
        <f>#REF!</f>
        <v>#REF!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 t="e">
        <f>#REF!</f>
        <v>#REF!</v>
      </c>
      <c r="Q12" s="18"/>
      <c r="R12" s="18"/>
      <c r="S12" s="18"/>
      <c r="T12" s="18" t="e">
        <f>#REF!</f>
        <v>#REF!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 t="e">
        <f>DEUDA_CONT_T1</f>
        <v>#REF!</v>
      </c>
      <c r="Q14" t="e">
        <f>DEUDA_CONT_T2</f>
        <v>#REF!</v>
      </c>
      <c r="R14" t="e">
        <f>DEUDA_CONT_T3</f>
        <v>#REF!</v>
      </c>
      <c r="S14" t="e">
        <f>DEUDA_CONT_T4</f>
        <v>#REF!</v>
      </c>
      <c r="T14" t="e">
        <f>DEUDA_CONT_T4</f>
        <v>#REF!</v>
      </c>
      <c r="U14" t="e">
        <f>DEUDA_CONT_T6</f>
        <v>#REF!</v>
      </c>
      <c r="V14" t="e">
        <f>DEUDA_CONT_T7</f>
        <v>#REF!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 t="e">
        <f>VALOR_INS_BCC_T1</f>
        <v>#REF!</v>
      </c>
      <c r="Q15" t="e">
        <f>VALOR_INS_BCC_T2</f>
        <v>#REF!</v>
      </c>
      <c r="R15" t="e">
        <f>VALOR_INS_BCC_T3</f>
        <v>#REF!</v>
      </c>
      <c r="S15" t="e">
        <f>VALOR_INS_BCC_T4</f>
        <v>#REF!</v>
      </c>
      <c r="T15" t="e">
        <f>VALOR_INS_BCC_T5</f>
        <v>#REF!</v>
      </c>
      <c r="U15" t="e">
        <f>VALOR_INS_BCC_T6</f>
        <v>#REF!</v>
      </c>
      <c r="V15" t="e">
        <f>VALOR_INS_BCC_T7</f>
        <v>#REF!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 t="e">
        <f>OB_CORTO_PLAZO_T1</f>
        <v>#REF!</v>
      </c>
      <c r="Q17" t="e">
        <f>OB_CORTO_PLAZO_T2</f>
        <v>#REF!</v>
      </c>
      <c r="R17" t="e">
        <f>OB_CORTO_PLAZO_T3</f>
        <v>#REF!</v>
      </c>
      <c r="S17" t="e">
        <f>OB_CORTO_PLAZO_T4</f>
        <v>#REF!</v>
      </c>
      <c r="T17" t="e">
        <f>OB_CORTO_PLAZO_T5</f>
        <v>#REF!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F17283"/>
  <sheetViews>
    <sheetView showGridLines="0" tabSelected="1" zoomScale="90" zoomScaleNormal="90" workbookViewId="0">
      <selection activeCell="A8" sqref="A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2" t="s">
        <v>537</v>
      </c>
      <c r="B1" s="172"/>
      <c r="C1" s="172"/>
      <c r="D1" s="172"/>
      <c r="E1" s="172"/>
      <c r="F1" s="172"/>
    </row>
    <row r="2" spans="1:6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5"/>
    </row>
    <row r="3" spans="1:6" x14ac:dyDescent="0.25">
      <c r="A3" s="176" t="s">
        <v>117</v>
      </c>
      <c r="B3" s="177"/>
      <c r="C3" s="177"/>
      <c r="D3" s="177"/>
      <c r="E3" s="177"/>
      <c r="F3" s="178"/>
    </row>
    <row r="4" spans="1:6" x14ac:dyDescent="0.25">
      <c r="A4" s="179" t="str">
        <f>PERIODO_INFORME</f>
        <v>Al 31 de diciembre de 2018 y al 31 de diciembre de 2019 (b)</v>
      </c>
      <c r="B4" s="180"/>
      <c r="C4" s="180"/>
      <c r="D4" s="180"/>
      <c r="E4" s="180"/>
      <c r="F4" s="181"/>
    </row>
    <row r="5" spans="1:6" x14ac:dyDescent="0.25">
      <c r="A5" s="182" t="s">
        <v>118</v>
      </c>
      <c r="B5" s="183"/>
      <c r="C5" s="183"/>
      <c r="D5" s="183"/>
      <c r="E5" s="183"/>
      <c r="F5" s="184"/>
    </row>
    <row r="6" spans="1:6" s="3" customFormat="1" ht="30" x14ac:dyDescent="0.25">
      <c r="A6" s="133" t="s">
        <v>3276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5770568.4300000006</v>
      </c>
      <c r="C9" s="60">
        <f>SUM(C10:C16)</f>
        <v>4069443.08</v>
      </c>
      <c r="D9" s="100" t="s">
        <v>54</v>
      </c>
      <c r="E9" s="60">
        <f>SUM(E10:E18)</f>
        <v>7080913.5300000003</v>
      </c>
      <c r="F9" s="60">
        <f>SUM(F10:F18)</f>
        <v>7508477.1299999999</v>
      </c>
    </row>
    <row r="10" spans="1:6" x14ac:dyDescent="0.25">
      <c r="A10" s="96" t="s">
        <v>4</v>
      </c>
      <c r="B10" s="60">
        <v>20594.400000000001</v>
      </c>
      <c r="C10" s="60">
        <v>18800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5706642.9000000004</v>
      </c>
      <c r="C11" s="60">
        <v>4037417.08</v>
      </c>
      <c r="D11" s="101" t="s">
        <v>56</v>
      </c>
      <c r="E11" s="60">
        <v>3713176.54</v>
      </c>
      <c r="F11" s="60">
        <v>4380202.09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30105.13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13226</v>
      </c>
      <c r="C15" s="60">
        <v>13226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1655923.77</v>
      </c>
      <c r="F16" s="60">
        <v>1535679.83</v>
      </c>
    </row>
    <row r="17" spans="1:6" x14ac:dyDescent="0.25">
      <c r="A17" s="95" t="s">
        <v>11</v>
      </c>
      <c r="B17" s="60">
        <f>SUM(B18:B24)</f>
        <v>212094.41</v>
      </c>
      <c r="C17" s="60">
        <f>SUM(C18:C24)</f>
        <v>2658427.94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1711813.22</v>
      </c>
      <c r="F18" s="60">
        <v>1592595.21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212094.41</v>
      </c>
      <c r="C20" s="60">
        <v>2658427.94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757176.08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757176.08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94447.92</v>
      </c>
      <c r="C37" s="60">
        <v>108450.03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254043.49</v>
      </c>
      <c r="F38" s="60">
        <f>SUM(F39:F41)</f>
        <v>129045.45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254043.49</v>
      </c>
      <c r="F41" s="60">
        <v>129045.45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B9+B17+B25+B31+B37+B41</f>
        <v>6834286.8400000008</v>
      </c>
      <c r="C47" s="61">
        <f>C9+C17+C25+C31+C37+C41</f>
        <v>6836321.0499999998</v>
      </c>
      <c r="D47" s="99" t="s">
        <v>91</v>
      </c>
      <c r="E47" s="61">
        <f>E9+E19+E23+E26+E27+E31+E38+E42</f>
        <v>7334957.0200000005</v>
      </c>
      <c r="F47" s="61">
        <f>F9+F19+F23+F26+F27+F31+F38+F42</f>
        <v>7637522.5800000001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24990265.219999999</v>
      </c>
      <c r="C53" s="60">
        <v>14831271.369999999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571568.56999999995</v>
      </c>
      <c r="C54" s="60">
        <v>571568.56999999995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-10287556.560000001</v>
      </c>
      <c r="C55" s="60">
        <v>-8316736.6200000001</v>
      </c>
      <c r="D55" s="37" t="s">
        <v>98</v>
      </c>
      <c r="E55" s="60">
        <v>0</v>
      </c>
      <c r="F55" s="60">
        <v>51844.99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51844.99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7334957.0200000005</v>
      </c>
      <c r="F59" s="61">
        <f>F47+F57</f>
        <v>7689367.5700000003</v>
      </c>
    </row>
    <row r="60" spans="1:6" x14ac:dyDescent="0.25">
      <c r="A60" s="55" t="s">
        <v>50</v>
      </c>
      <c r="B60" s="61">
        <f>SUM(B50:B58)</f>
        <v>15274277.229999999</v>
      </c>
      <c r="C60" s="61">
        <f>SUM(C50:C58)</f>
        <v>7086103.3199999994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22108564.07</v>
      </c>
      <c r="C62" s="61">
        <f>SUM(C47+C60)</f>
        <v>13922424.369999999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216450</v>
      </c>
      <c r="F63" s="77">
        <f>SUM(F64:F66)</f>
        <v>216450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216450</v>
      </c>
      <c r="F65" s="77">
        <v>216450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14557157.050000001</v>
      </c>
      <c r="F68" s="77">
        <f>SUM(F69:F73)</f>
        <v>6016606.7999999998</v>
      </c>
    </row>
    <row r="69" spans="1:6" x14ac:dyDescent="0.25">
      <c r="A69" s="12"/>
      <c r="B69" s="54"/>
      <c r="C69" s="54"/>
      <c r="D69" s="103" t="s">
        <v>107</v>
      </c>
      <c r="E69" s="77">
        <v>8540550.25</v>
      </c>
      <c r="F69" s="77">
        <v>-1035345.4</v>
      </c>
    </row>
    <row r="70" spans="1:6" x14ac:dyDescent="0.25">
      <c r="A70" s="12"/>
      <c r="B70" s="54"/>
      <c r="C70" s="54"/>
      <c r="D70" s="103" t="s">
        <v>108</v>
      </c>
      <c r="E70" s="77">
        <v>-274597.28000000003</v>
      </c>
      <c r="F70" s="77">
        <v>760748.12</v>
      </c>
    </row>
    <row r="71" spans="1:6" x14ac:dyDescent="0.25">
      <c r="A71" s="12"/>
      <c r="B71" s="54"/>
      <c r="C71" s="54"/>
      <c r="D71" s="103" t="s">
        <v>109</v>
      </c>
      <c r="E71" s="77">
        <v>6291204.0800000001</v>
      </c>
      <c r="F71" s="77">
        <v>6291204.0800000001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14773607.050000001</v>
      </c>
      <c r="F79" s="61">
        <f>F63+F68+F75</f>
        <v>6233056.7999999998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22108564.07</v>
      </c>
      <c r="F81" s="61">
        <f>F59+F79</f>
        <v>13922424.370000001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47"/>
  <sheetViews>
    <sheetView showGridLines="0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6" t="s">
        <v>536</v>
      </c>
      <c r="B1" s="186"/>
      <c r="C1" s="186"/>
      <c r="D1" s="186"/>
      <c r="E1" s="186"/>
      <c r="F1" s="186"/>
      <c r="G1" s="186"/>
      <c r="H1" s="186"/>
    </row>
    <row r="2" spans="1:9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4"/>
      <c r="G2" s="174"/>
      <c r="H2" s="175"/>
    </row>
    <row r="3" spans="1:9" x14ac:dyDescent="0.25">
      <c r="A3" s="176" t="s">
        <v>120</v>
      </c>
      <c r="B3" s="177"/>
      <c r="C3" s="177"/>
      <c r="D3" s="177"/>
      <c r="E3" s="177"/>
      <c r="F3" s="177"/>
      <c r="G3" s="177"/>
      <c r="H3" s="178"/>
    </row>
    <row r="4" spans="1:9" x14ac:dyDescent="0.25">
      <c r="A4" s="179" t="str">
        <f>PERIODO_INFORME</f>
        <v>Al 31 de diciembre de 2018 y al 31 de diciembre de 2019 (b)</v>
      </c>
      <c r="B4" s="180"/>
      <c r="C4" s="180"/>
      <c r="D4" s="180"/>
      <c r="E4" s="180"/>
      <c r="F4" s="180"/>
      <c r="G4" s="180"/>
      <c r="H4" s="181"/>
    </row>
    <row r="5" spans="1:9" x14ac:dyDescent="0.25">
      <c r="A5" s="182" t="s">
        <v>118</v>
      </c>
      <c r="B5" s="183"/>
      <c r="C5" s="183"/>
      <c r="D5" s="183"/>
      <c r="E5" s="183"/>
      <c r="F5" s="183"/>
      <c r="G5" s="183"/>
      <c r="H5" s="18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149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7689367.5700000003</v>
      </c>
      <c r="C18" s="132"/>
      <c r="D18" s="132"/>
      <c r="E18" s="132"/>
      <c r="F18" s="61">
        <f>+F20</f>
        <v>7334957.0199999996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7689367.5700000003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7334957.0199999996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5" t="s">
        <v>3292</v>
      </c>
      <c r="B33" s="185"/>
      <c r="C33" s="185"/>
      <c r="D33" s="185"/>
      <c r="E33" s="185"/>
      <c r="F33" s="185"/>
      <c r="G33" s="185"/>
      <c r="H33" s="185"/>
    </row>
    <row r="34" spans="1:8" ht="12" customHeight="1" x14ac:dyDescent="0.25">
      <c r="A34" s="185"/>
      <c r="B34" s="185"/>
      <c r="C34" s="185"/>
      <c r="D34" s="185"/>
      <c r="E34" s="185"/>
      <c r="F34" s="185"/>
      <c r="G34" s="185"/>
      <c r="H34" s="185"/>
    </row>
    <row r="35" spans="1:8" ht="12" customHeight="1" x14ac:dyDescent="0.25">
      <c r="A35" s="185"/>
      <c r="B35" s="185"/>
      <c r="C35" s="185"/>
      <c r="D35" s="185"/>
      <c r="E35" s="185"/>
      <c r="F35" s="185"/>
      <c r="G35" s="185"/>
      <c r="H35" s="185"/>
    </row>
    <row r="36" spans="1:8" ht="12" customHeight="1" x14ac:dyDescent="0.25">
      <c r="A36" s="185"/>
      <c r="B36" s="185"/>
      <c r="C36" s="185"/>
      <c r="D36" s="185"/>
      <c r="E36" s="185"/>
      <c r="F36" s="185"/>
      <c r="G36" s="185"/>
      <c r="H36" s="185"/>
    </row>
    <row r="37" spans="1:8" ht="12" customHeight="1" x14ac:dyDescent="0.25">
      <c r="A37" s="185"/>
      <c r="B37" s="185"/>
      <c r="C37" s="185"/>
      <c r="D37" s="185"/>
      <c r="E37" s="185"/>
      <c r="F37" s="185"/>
      <c r="G37" s="185"/>
      <c r="H37" s="18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149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2" t="s">
        <v>535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x14ac:dyDescent="0.25">
      <c r="A2" s="173" t="str">
        <f>ENTE_PUBLICO_A</f>
        <v>COMISION MUNICIPAL DE CULTURA FISICA Y DEPORTE DE LEON GUANAJUATO, Gobierno del Estado de Guanajuato (a)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2" x14ac:dyDescent="0.25">
      <c r="A3" s="176" t="s">
        <v>146</v>
      </c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2" x14ac:dyDescent="0.25">
      <c r="A4" s="179" t="str">
        <f>TRIMESTRE</f>
        <v>Del 1 de enero al 31 de diciembre de 2019 (b)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2" x14ac:dyDescent="0.25">
      <c r="A5" s="176" t="s">
        <v>118</v>
      </c>
      <c r="B5" s="177"/>
      <c r="C5" s="177"/>
      <c r="D5" s="177"/>
      <c r="E5" s="177"/>
      <c r="F5" s="177"/>
      <c r="G5" s="177"/>
      <c r="H5" s="177"/>
      <c r="I5" s="177"/>
      <c r="J5" s="177"/>
      <c r="K5" s="17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F01</vt:lpstr>
      <vt:lpstr>F02</vt:lpstr>
      <vt:lpstr>Formato 1</vt:lpstr>
      <vt:lpstr>Formato 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'Formato 1'!ACTIVO</vt:lpstr>
      <vt:lpstr>'Formato 1'!ACTIVO_CIRCULANTE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2'!DEUDA_CONT</vt:lpstr>
      <vt:lpstr>'Formato 2'!DEUDA_CONT_FIN</vt:lpstr>
      <vt:lpstr>'Formato 2'!DEUDA_CONT_FIN_01</vt:lpstr>
      <vt:lpstr>'Formato 2'!DEUDA_CONT_FIN_02</vt:lpstr>
      <vt:lpstr>'Formato 2'!DEUDA_CONT_FIN_03</vt:lpstr>
      <vt:lpstr>'Formato 2'!DEUDA_CONT_FIN_04</vt:lpstr>
      <vt:lpstr>'Formato 2'!DEUDA_CONT_FIN_05</vt:lpstr>
      <vt:lpstr>'Formato 2'!DEUDA_CONT_FIN_06</vt:lpstr>
      <vt:lpstr>'Formato 2'!DEUDA_CONT_FIN_07</vt:lpstr>
      <vt:lpstr>'Formato 2'!DEUDA_CONT_T1</vt:lpstr>
      <vt:lpstr>'Formato 2'!DEUDA_CONT_T2</vt:lpstr>
      <vt:lpstr>'Formato 2'!DEUDA_CONT_T3</vt:lpstr>
      <vt:lpstr>'Formato 2'!DEUDA_CONT_T4</vt:lpstr>
      <vt:lpstr>'Formato 2'!DEUDA_CONT_T5</vt:lpstr>
      <vt:lpstr>'Formato 2'!DEUDA_CONT_T6</vt:lpstr>
      <vt:lpstr>'Formato 2'!DEUDA_CONT_T7</vt:lpstr>
      <vt:lpstr>'Formato 2'!DEUDA_CONT_V1</vt:lpstr>
      <vt:lpstr>'Formato 2'!DEUDA_CONT_V2</vt:lpstr>
      <vt:lpstr>'Formato 2'!DEUDA_CONT_V3</vt:lpstr>
      <vt:lpstr>'Formato 2'!DEUDA_CONT_V4</vt:lpstr>
      <vt:lpstr>'Formato 2'!DEUDA_CONT_V5</vt:lpstr>
      <vt:lpstr>'Formato 2'!DEUDA_CONT_V6</vt:lpstr>
      <vt:lpstr>'Formato 2'!DEUDA_CONT_V7</vt:lpstr>
      <vt:lpstr>'Formato 2'!DEUDA_CONTINGENTE</vt:lpstr>
      <vt:lpstr>ENTE</vt:lpstr>
      <vt:lpstr>ENTE_PUBLICO</vt:lpstr>
      <vt:lpstr>ENTE_PUBLICO_A</vt:lpstr>
      <vt:lpstr>'Formato 1'!ENTE_PUBLICO_F01</vt:lpstr>
      <vt:lpstr>'Formato 2'!ENTE_PUBLICO_F02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'Formato 2'!OB_CORTO_PLAZO</vt:lpstr>
      <vt:lpstr>'Formato 2'!OB_CORTO_PLAZO_FIN</vt:lpstr>
      <vt:lpstr>'Formato 2'!OB_CORTO_PLAZO_FIN_01</vt:lpstr>
      <vt:lpstr>'Formato 2'!OB_CORTO_PLAZO_FIN_02</vt:lpstr>
      <vt:lpstr>'Formato 2'!OB_CORTO_PLAZO_FIN_03</vt:lpstr>
      <vt:lpstr>'Formato 2'!OB_CORTO_PLAZO_FIN_04</vt:lpstr>
      <vt:lpstr>'Formato 2'!OB_CORTO_PLAZO_FIN_05</vt:lpstr>
      <vt:lpstr>'Formato 2'!OB_CORTO_PLAZO_T1</vt:lpstr>
      <vt:lpstr>'Formato 2'!OB_CORTO_PLAZO_T2</vt:lpstr>
      <vt:lpstr>'Formato 2'!OB_CORTO_PLAZO_T3</vt:lpstr>
      <vt:lpstr>'Formato 2'!OB_CORTO_PLAZO_T4</vt:lpstr>
      <vt:lpstr>'Formato 2'!OB_CORTO_PLAZO_T5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'Formato 2'!PERIODO_ANT</vt:lpstr>
      <vt:lpstr>PERIODO_INFORME</vt:lpstr>
      <vt:lpstr>'Formato 1'!PERIODO_INFORME_F01</vt:lpstr>
      <vt:lpstr>'Formato 2'!PERIODO_INFORME_F02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'Formato 2'!PERIODO_INFORME_F2</vt:lpstr>
      <vt:lpstr>'Formato 2'!SALDO_ANT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'Formato 2'!VALOR_INS_BCC</vt:lpstr>
      <vt:lpstr>'Formato 2'!VALOR_INS_BCC_FIN</vt:lpstr>
      <vt:lpstr>'Formato 2'!VALOR_INS_BCC_FIN_01</vt:lpstr>
      <vt:lpstr>'Formato 2'!VALOR_INS_BCC_FIN_02</vt:lpstr>
      <vt:lpstr>'Formato 2'!VALOR_INS_BCC_FIN_03</vt:lpstr>
      <vt:lpstr>'Formato 2'!VALOR_INS_BCC_FIN_04</vt:lpstr>
      <vt:lpstr>'Formato 2'!VALOR_INS_BCC_FIN_05</vt:lpstr>
      <vt:lpstr>'Formato 2'!VALOR_INS_BCC_FIN_06</vt:lpstr>
      <vt:lpstr>'Formato 2'!VALOR_INS_BCC_FIN_07</vt:lpstr>
      <vt:lpstr>'Formato 2'!VALOR_INS_BCC_T1</vt:lpstr>
      <vt:lpstr>'Formato 2'!VALOR_INS_BCC_T2</vt:lpstr>
      <vt:lpstr>'Formato 2'!VALOR_INS_BCC_T3</vt:lpstr>
      <vt:lpstr>'Formato 2'!VALOR_INS_BCC_T4</vt:lpstr>
      <vt:lpstr>'Formato 2'!VALOR_INS_BCC_T5</vt:lpstr>
      <vt:lpstr>'Formato 2'!VALOR_INS_BCC_T6</vt:lpstr>
      <vt:lpstr>'Formato 2'!VALOR_INS_BCC_T7</vt:lpstr>
      <vt:lpstr>'Formato 2'!VALOR_INS_BCC_V1</vt:lpstr>
      <vt:lpstr>'Formato 2'!VALOR_INS_BCC_V2</vt:lpstr>
      <vt:lpstr>'Formato 2'!VALOR_INSTRUMENTOS_BCC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Ricardo Saldaña</cp:lastModifiedBy>
  <cp:lastPrinted>2020-01-25T01:21:49Z</cp:lastPrinted>
  <dcterms:created xsi:type="dcterms:W3CDTF">2017-01-19T17:59:06Z</dcterms:created>
  <dcterms:modified xsi:type="dcterms:W3CDTF">2020-01-29T19:36:09Z</dcterms:modified>
</cp:coreProperties>
</file>