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tonio.Garcia\Documents\2019\"/>
    </mc:Choice>
  </mc:AlternateContent>
  <xr:revisionPtr revIDLastSave="0" documentId="8_{C9BDA3DA-2E9D-46DC-8C9B-740F5902B51E}" xr6:coauthVersionLast="41" xr6:coauthVersionMax="41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310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1'!$A$1:$F$82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b)'!$A$54</definedName>
    <definedName name="GASTO_E_FIN">'Formato 6 b)'!$A$67</definedName>
    <definedName name="GASTO_E_FIN_01">'Formato 6 b)'!$B$67</definedName>
    <definedName name="GASTO_E_FIN_02">'Formato 6 b)'!$C$67</definedName>
    <definedName name="GASTO_E_FIN_03">'Formato 6 b)'!$D$67</definedName>
    <definedName name="GASTO_E_FIN_04">'Formato 6 b)'!$E$67</definedName>
    <definedName name="GASTO_E_FIN_05">'Formato 6 b)'!$F$67</definedName>
    <definedName name="GASTO_E_FIN_06">'Formato 6 b)'!$G$67</definedName>
    <definedName name="GASTO_E_T1">'Formato 6 b)'!$B$54</definedName>
    <definedName name="GASTO_E_T2">'Formato 6 b)'!$C$54</definedName>
    <definedName name="GASTO_E_T3">'Formato 6 b)'!$D$54</definedName>
    <definedName name="GASTO_E_T4">'Formato 6 b)'!$E$54</definedName>
    <definedName name="GASTO_E_T5">'Formato 6 b)'!$F$54</definedName>
    <definedName name="GASTO_E_T6">'Formato 6 b)'!$G$54</definedName>
    <definedName name="GASTO_NE">'Formato 6 b)'!$A$9</definedName>
    <definedName name="GASTO_NE_FIN">'Formato 6 b)'!$A$53</definedName>
    <definedName name="GASTO_NE_FIN_01">'Formato 6 b)'!$B$53</definedName>
    <definedName name="GASTO_NE_FIN_02">'Formato 6 b)'!$C$53</definedName>
    <definedName name="GASTO_NE_FIN_03">'Formato 6 b)'!$D$53</definedName>
    <definedName name="GASTO_NE_FIN_04">'Formato 6 b)'!$E$53</definedName>
    <definedName name="GASTO_NE_FIN_05">'Formato 6 b)'!$F$53</definedName>
    <definedName name="GASTO_NE_FIN_06">'Formato 6 b)'!$G$53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b)'!$B$68</definedName>
    <definedName name="TOTAL_E_T2">'Formato 6 b)'!$C$68</definedName>
    <definedName name="TOTAL_E_T3">'Formato 6 b)'!$D$68</definedName>
    <definedName name="TOTAL_E_T4">'Formato 6 b)'!$E$68</definedName>
    <definedName name="TOTAL_E_T5">'Formato 6 b)'!$F$68</definedName>
    <definedName name="TOTAL_E_T6">'Formato 6 b)'!$G$68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42" i="1"/>
  <c r="B9" i="1"/>
  <c r="B62" i="1"/>
  <c r="B60" i="1"/>
  <c r="G11" i="6" l="1"/>
  <c r="G12" i="6"/>
  <c r="G13" i="6"/>
  <c r="G14" i="6"/>
  <c r="G15" i="6"/>
  <c r="G16" i="6"/>
  <c r="G17" i="6"/>
  <c r="G20" i="6"/>
  <c r="G21" i="6"/>
  <c r="G26" i="6"/>
  <c r="G29" i="6"/>
  <c r="G35" i="6"/>
  <c r="G39" i="6"/>
  <c r="G40" i="6"/>
  <c r="G41" i="6"/>
  <c r="G43" i="6"/>
  <c r="G44" i="6"/>
  <c r="G45" i="6"/>
  <c r="G46" i="6"/>
  <c r="G47" i="6"/>
  <c r="G51" i="6"/>
  <c r="G52" i="6"/>
  <c r="G53" i="6"/>
  <c r="G55" i="6"/>
  <c r="G56" i="6"/>
  <c r="G57" i="6"/>
  <c r="G58" i="6"/>
  <c r="C51" i="6"/>
  <c r="C52" i="6"/>
  <c r="C53" i="6"/>
  <c r="C55" i="6"/>
  <c r="C56" i="6"/>
  <c r="C57" i="6"/>
  <c r="C35" i="6"/>
  <c r="C37" i="6"/>
  <c r="C29" i="6"/>
  <c r="C20" i="6"/>
  <c r="C21" i="6"/>
  <c r="C22" i="6"/>
  <c r="C26" i="6"/>
  <c r="C12" i="6"/>
  <c r="C13" i="6"/>
  <c r="C14" i="6"/>
  <c r="C15" i="6"/>
  <c r="C16" i="6"/>
  <c r="C17" i="6"/>
  <c r="C11" i="6"/>
  <c r="F36" i="6"/>
  <c r="F34" i="6"/>
  <c r="F33" i="6"/>
  <c r="F32" i="6"/>
  <c r="F31" i="6"/>
  <c r="F30" i="6"/>
  <c r="F27" i="6"/>
  <c r="F25" i="6"/>
  <c r="F22" i="6"/>
  <c r="E54" i="6"/>
  <c r="D54" i="6"/>
  <c r="F50" i="6"/>
  <c r="E50" i="6"/>
  <c r="D50" i="6"/>
  <c r="G50" i="6" s="1"/>
  <c r="F49" i="6"/>
  <c r="E49" i="6"/>
  <c r="D49" i="6"/>
  <c r="C49" i="6" s="1"/>
  <c r="E42" i="6"/>
  <c r="D42" i="6"/>
  <c r="F37" i="6"/>
  <c r="E37" i="6"/>
  <c r="D37" i="6"/>
  <c r="E36" i="6"/>
  <c r="D36" i="6"/>
  <c r="G36" i="6" s="1"/>
  <c r="E34" i="6"/>
  <c r="D34" i="6"/>
  <c r="G34" i="6" s="1"/>
  <c r="E33" i="6"/>
  <c r="D33" i="6"/>
  <c r="C33" i="6" s="1"/>
  <c r="E32" i="6"/>
  <c r="D32" i="6"/>
  <c r="G32" i="6" s="1"/>
  <c r="E31" i="6"/>
  <c r="E30" i="6"/>
  <c r="D31" i="6"/>
  <c r="G31" i="6" s="1"/>
  <c r="D30" i="6"/>
  <c r="E27" i="6"/>
  <c r="D27" i="6"/>
  <c r="C27" i="6" s="1"/>
  <c r="E25" i="6"/>
  <c r="D25" i="6"/>
  <c r="C25" i="6" s="1"/>
  <c r="F24" i="6"/>
  <c r="E24" i="6"/>
  <c r="D24" i="6"/>
  <c r="F23" i="6"/>
  <c r="E23" i="6"/>
  <c r="D23" i="6"/>
  <c r="C23" i="6" s="1"/>
  <c r="E22" i="6"/>
  <c r="D22" i="6"/>
  <c r="G22" i="6" s="1"/>
  <c r="F19" i="6"/>
  <c r="E19" i="6"/>
  <c r="D19" i="6"/>
  <c r="G95" i="6"/>
  <c r="G96" i="6"/>
  <c r="G97" i="6"/>
  <c r="G98" i="6"/>
  <c r="G99" i="6"/>
  <c r="G100" i="6"/>
  <c r="G101" i="6"/>
  <c r="G102" i="6"/>
  <c r="G104" i="6"/>
  <c r="G105" i="6"/>
  <c r="G106" i="6"/>
  <c r="G107" i="6"/>
  <c r="G108" i="6"/>
  <c r="G109" i="6"/>
  <c r="G110" i="6"/>
  <c r="G111" i="6"/>
  <c r="G112" i="6"/>
  <c r="G114" i="6"/>
  <c r="G115" i="6"/>
  <c r="G116" i="6"/>
  <c r="G117" i="6"/>
  <c r="G118" i="6"/>
  <c r="G119" i="6"/>
  <c r="G120" i="6"/>
  <c r="G121" i="6"/>
  <c r="G122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94" i="6"/>
  <c r="G23" i="6" l="1"/>
  <c r="G27" i="6"/>
  <c r="G33" i="6"/>
  <c r="G42" i="6"/>
  <c r="G54" i="6"/>
  <c r="G30" i="6"/>
  <c r="G19" i="6"/>
  <c r="G24" i="6"/>
  <c r="G25" i="6"/>
  <c r="G37" i="6"/>
  <c r="C19" i="6"/>
  <c r="C24" i="6"/>
  <c r="C31" i="6"/>
  <c r="C42" i="6"/>
  <c r="C38" i="6" s="1"/>
  <c r="G49" i="6"/>
  <c r="C36" i="6"/>
  <c r="C34" i="6"/>
  <c r="C32" i="6"/>
  <c r="C30" i="6"/>
  <c r="C54" i="6"/>
  <c r="C50" i="6"/>
  <c r="C23" i="8"/>
  <c r="C19" i="8" s="1"/>
  <c r="D19" i="8"/>
  <c r="E19" i="8"/>
  <c r="F19" i="8"/>
  <c r="C48" i="6" l="1"/>
  <c r="E31" i="1"/>
  <c r="E27" i="1"/>
  <c r="E23" i="1"/>
  <c r="P71" i="15" s="1"/>
  <c r="E19" i="1"/>
  <c r="B41" i="1"/>
  <c r="B38" i="1"/>
  <c r="B31" i="1"/>
  <c r="P26" i="15" s="1"/>
  <c r="B25" i="1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10" i="7"/>
  <c r="G56" i="7"/>
  <c r="G57" i="7"/>
  <c r="G58" i="7"/>
  <c r="G59" i="7"/>
  <c r="G60" i="7"/>
  <c r="G61" i="7"/>
  <c r="G62" i="7"/>
  <c r="G63" i="7"/>
  <c r="G64" i="7"/>
  <c r="G65" i="7"/>
  <c r="D9" i="7"/>
  <c r="R2" i="25" s="1"/>
  <c r="G41" i="7"/>
  <c r="C18" i="6"/>
  <c r="D18" i="6"/>
  <c r="E18" i="6"/>
  <c r="S11" i="24" s="1"/>
  <c r="F18" i="6"/>
  <c r="T11" i="24" s="1"/>
  <c r="D48" i="6"/>
  <c r="E48" i="6"/>
  <c r="F48" i="6"/>
  <c r="C28" i="6"/>
  <c r="Q21" i="24" s="1"/>
  <c r="D28" i="6"/>
  <c r="E28" i="6"/>
  <c r="S21" i="24" s="1"/>
  <c r="F28" i="6"/>
  <c r="C10" i="6"/>
  <c r="Q3" i="24" s="1"/>
  <c r="D10" i="6"/>
  <c r="E10" i="6"/>
  <c r="F10" i="6"/>
  <c r="T3" i="24" s="1"/>
  <c r="F42" i="1"/>
  <c r="Q91" i="15" s="1"/>
  <c r="P91" i="15"/>
  <c r="F38" i="1"/>
  <c r="F31" i="1"/>
  <c r="Q80" i="15"/>
  <c r="F27" i="1"/>
  <c r="F23" i="1"/>
  <c r="Q71" i="15" s="1"/>
  <c r="F19" i="1"/>
  <c r="F9" i="1"/>
  <c r="Q57" i="15" s="1"/>
  <c r="P57" i="15"/>
  <c r="C41" i="1"/>
  <c r="Q37" i="15" s="1"/>
  <c r="C38" i="1"/>
  <c r="C31" i="1"/>
  <c r="Q26" i="15"/>
  <c r="C25" i="1"/>
  <c r="C17" i="1"/>
  <c r="Q12" i="15" s="1"/>
  <c r="C9" i="1"/>
  <c r="K15" i="3"/>
  <c r="K16" i="3"/>
  <c r="K17" i="3"/>
  <c r="K14" i="3" s="1"/>
  <c r="Y4" i="17" s="1"/>
  <c r="K18" i="3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2" i="7"/>
  <c r="G43" i="7"/>
  <c r="G44" i="7"/>
  <c r="G45" i="7"/>
  <c r="G46" i="7"/>
  <c r="G47" i="7"/>
  <c r="G48" i="7"/>
  <c r="G49" i="7"/>
  <c r="G50" i="7"/>
  <c r="G51" i="7"/>
  <c r="G52" i="7"/>
  <c r="C113" i="6"/>
  <c r="Q105" i="24" s="1"/>
  <c r="B18" i="6"/>
  <c r="P11" i="24" s="1"/>
  <c r="C16" i="5"/>
  <c r="R10" i="20"/>
  <c r="S10" i="20"/>
  <c r="B16" i="5"/>
  <c r="B41" i="5" s="1"/>
  <c r="C35" i="5"/>
  <c r="Q29" i="20"/>
  <c r="D35" i="5"/>
  <c r="D41" i="5" s="1"/>
  <c r="R34" i="20" s="1"/>
  <c r="E35" i="5"/>
  <c r="S29" i="20" s="1"/>
  <c r="F35" i="5"/>
  <c r="T29" i="20" s="1"/>
  <c r="G35" i="5"/>
  <c r="U29" i="20" s="1"/>
  <c r="B35" i="5"/>
  <c r="G137" i="6"/>
  <c r="U129" i="24" s="1"/>
  <c r="C137" i="6"/>
  <c r="D137" i="6"/>
  <c r="E137" i="6"/>
  <c r="S129" i="24" s="1"/>
  <c r="F137" i="6"/>
  <c r="B137" i="6"/>
  <c r="C62" i="6"/>
  <c r="D62" i="6"/>
  <c r="R55" i="24" s="1"/>
  <c r="E62" i="6"/>
  <c r="S55" i="24" s="1"/>
  <c r="F62" i="6"/>
  <c r="G62" i="6"/>
  <c r="U55" i="24"/>
  <c r="B62" i="6"/>
  <c r="B8" i="10"/>
  <c r="P2" i="28" s="1"/>
  <c r="C6" i="23"/>
  <c r="C7" i="23" s="1"/>
  <c r="H25" i="23"/>
  <c r="F5" i="13" s="1"/>
  <c r="G25" i="23"/>
  <c r="F25" i="23"/>
  <c r="D5" i="13"/>
  <c r="E25" i="23"/>
  <c r="C5" i="13" s="1"/>
  <c r="D25" i="23"/>
  <c r="B5" i="13"/>
  <c r="G30" i="9"/>
  <c r="U22" i="27" s="1"/>
  <c r="G31" i="9"/>
  <c r="U23" i="27" s="1"/>
  <c r="G29" i="9"/>
  <c r="G26" i="9"/>
  <c r="G27" i="9"/>
  <c r="U19" i="27" s="1"/>
  <c r="G25" i="9"/>
  <c r="G23" i="9"/>
  <c r="G22" i="9"/>
  <c r="G19" i="9"/>
  <c r="G18" i="9"/>
  <c r="U11" i="27" s="1"/>
  <c r="G17" i="9"/>
  <c r="G14" i="9"/>
  <c r="G15" i="9"/>
  <c r="U8" i="27" s="1"/>
  <c r="G13" i="9"/>
  <c r="G11" i="9"/>
  <c r="U4" i="27" s="1"/>
  <c r="G73" i="8"/>
  <c r="U65" i="26" s="1"/>
  <c r="G74" i="8"/>
  <c r="G75" i="8"/>
  <c r="G72" i="8"/>
  <c r="U64" i="26" s="1"/>
  <c r="G63" i="8"/>
  <c r="U55" i="26" s="1"/>
  <c r="G64" i="8"/>
  <c r="G65" i="8"/>
  <c r="U57" i="26" s="1"/>
  <c r="G66" i="8"/>
  <c r="G67" i="8"/>
  <c r="U59" i="26" s="1"/>
  <c r="G68" i="8"/>
  <c r="U60" i="26" s="1"/>
  <c r="G69" i="8"/>
  <c r="U61" i="26" s="1"/>
  <c r="G70" i="8"/>
  <c r="G62" i="8"/>
  <c r="G55" i="8"/>
  <c r="U47" i="26" s="1"/>
  <c r="G56" i="8"/>
  <c r="G57" i="8"/>
  <c r="U49" i="26" s="1"/>
  <c r="G58" i="8"/>
  <c r="U50" i="26" s="1"/>
  <c r="G59" i="8"/>
  <c r="U51" i="26" s="1"/>
  <c r="G60" i="8"/>
  <c r="U52" i="26" s="1"/>
  <c r="G54" i="8"/>
  <c r="G46" i="8"/>
  <c r="U38" i="26" s="1"/>
  <c r="G47" i="8"/>
  <c r="U39" i="26" s="1"/>
  <c r="G48" i="8"/>
  <c r="G49" i="8"/>
  <c r="U41" i="26" s="1"/>
  <c r="G50" i="8"/>
  <c r="U42" i="26" s="1"/>
  <c r="G51" i="8"/>
  <c r="U43" i="26" s="1"/>
  <c r="G52" i="8"/>
  <c r="G45" i="8"/>
  <c r="G39" i="8"/>
  <c r="U32" i="26" s="1"/>
  <c r="G40" i="8"/>
  <c r="U33" i="26" s="1"/>
  <c r="G41" i="8"/>
  <c r="G38" i="8"/>
  <c r="U31" i="26" s="1"/>
  <c r="G10" i="8"/>
  <c r="U3" i="26" s="1"/>
  <c r="G20" i="8"/>
  <c r="G21" i="8"/>
  <c r="U14" i="26" s="1"/>
  <c r="G22" i="8"/>
  <c r="U15" i="26" s="1"/>
  <c r="G24" i="8"/>
  <c r="U17" i="26" s="1"/>
  <c r="G25" i="8"/>
  <c r="G26" i="8"/>
  <c r="U19" i="26" s="1"/>
  <c r="G28" i="8"/>
  <c r="G29" i="8"/>
  <c r="G30" i="8"/>
  <c r="G31" i="8"/>
  <c r="U24" i="26" s="1"/>
  <c r="G32" i="8"/>
  <c r="U25" i="26"/>
  <c r="G33" i="8"/>
  <c r="G34" i="8"/>
  <c r="U27" i="26" s="1"/>
  <c r="G35" i="8"/>
  <c r="G36" i="8"/>
  <c r="U29" i="26"/>
  <c r="G55" i="7"/>
  <c r="G10" i="7"/>
  <c r="B10" i="6"/>
  <c r="B28" i="6"/>
  <c r="P21" i="24" s="1"/>
  <c r="B38" i="6"/>
  <c r="B48" i="6"/>
  <c r="P41" i="24"/>
  <c r="B7" i="13"/>
  <c r="P2" i="31" s="1"/>
  <c r="G41" i="5"/>
  <c r="U34" i="20" s="1"/>
  <c r="F20" i="23"/>
  <c r="B6" i="2" s="1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F7" i="13"/>
  <c r="F29" i="13" s="1"/>
  <c r="T22" i="31" s="1"/>
  <c r="T2" i="31"/>
  <c r="G7" i="13"/>
  <c r="U2" i="31" s="1"/>
  <c r="Q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D30" i="11" s="1"/>
  <c r="R22" i="29" s="1"/>
  <c r="E8" i="11"/>
  <c r="F8" i="1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R21" i="28" s="1"/>
  <c r="E29" i="10"/>
  <c r="F29" i="10"/>
  <c r="T21" i="28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E9" i="9"/>
  <c r="S2" i="27" s="1"/>
  <c r="F9" i="9"/>
  <c r="T2" i="27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1" i="9"/>
  <c r="D21" i="9"/>
  <c r="R13" i="27" s="1"/>
  <c r="E21" i="9"/>
  <c r="F21" i="9"/>
  <c r="T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Q20" i="27"/>
  <c r="R20" i="27"/>
  <c r="S20" i="27"/>
  <c r="T20" i="27"/>
  <c r="Q21" i="27"/>
  <c r="R21" i="27"/>
  <c r="S21" i="27"/>
  <c r="T21" i="27"/>
  <c r="Q22" i="27"/>
  <c r="R22" i="27"/>
  <c r="S22" i="27"/>
  <c r="T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C10" i="8"/>
  <c r="C9" i="8" s="1"/>
  <c r="D10" i="8"/>
  <c r="R3" i="26" s="1"/>
  <c r="R12" i="26"/>
  <c r="E10" i="8"/>
  <c r="E9" i="8" s="1"/>
  <c r="S2" i="26" s="1"/>
  <c r="F10" i="8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0" i="26"/>
  <c r="R20" i="26"/>
  <c r="S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R30" i="26"/>
  <c r="S30" i="26"/>
  <c r="T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3" i="8"/>
  <c r="Q35" i="26" s="1"/>
  <c r="D43" i="8"/>
  <c r="R35" i="26" s="1"/>
  <c r="E43" i="8"/>
  <c r="S35" i="26" s="1"/>
  <c r="F43" i="8"/>
  <c r="T35" i="26" s="1"/>
  <c r="Q36" i="26"/>
  <c r="R36" i="26"/>
  <c r="S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5" i="26"/>
  <c r="R45" i="26"/>
  <c r="S45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R53" i="26"/>
  <c r="S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Q63" i="26"/>
  <c r="R63" i="26"/>
  <c r="S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3" i="8"/>
  <c r="B10" i="8"/>
  <c r="B19" i="8"/>
  <c r="B9" i="8"/>
  <c r="P2" i="26" s="1"/>
  <c r="P12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54" i="7"/>
  <c r="T3" i="25" s="1"/>
  <c r="E9" i="7"/>
  <c r="S2" i="25" s="1"/>
  <c r="E54" i="7"/>
  <c r="S3" i="25" s="1"/>
  <c r="D54" i="7"/>
  <c r="R3" i="25" s="1"/>
  <c r="C54" i="7"/>
  <c r="Q3" i="25" s="1"/>
  <c r="B9" i="7"/>
  <c r="P2" i="25" s="1"/>
  <c r="B54" i="7"/>
  <c r="P3" i="25" s="1"/>
  <c r="A3" i="25"/>
  <c r="A4" i="25"/>
  <c r="A2" i="25"/>
  <c r="A87" i="24"/>
  <c r="C93" i="6"/>
  <c r="Q85" i="24" s="1"/>
  <c r="C103" i="6"/>
  <c r="Q95" i="24" s="1"/>
  <c r="C123" i="6"/>
  <c r="Q115" i="24" s="1"/>
  <c r="C150" i="6"/>
  <c r="D93" i="6"/>
  <c r="D103" i="6"/>
  <c r="D113" i="6"/>
  <c r="D123" i="6"/>
  <c r="D150" i="6"/>
  <c r="R142" i="24" s="1"/>
  <c r="E93" i="6"/>
  <c r="S85" i="24" s="1"/>
  <c r="E103" i="6"/>
  <c r="S95" i="24" s="1"/>
  <c r="E113" i="6"/>
  <c r="E123" i="6"/>
  <c r="S115" i="24" s="1"/>
  <c r="E150" i="6"/>
  <c r="S142" i="24" s="1"/>
  <c r="T85" i="24"/>
  <c r="T95" i="24"/>
  <c r="T105" i="24"/>
  <c r="T115" i="24"/>
  <c r="F150" i="6"/>
  <c r="F84" i="6" s="1"/>
  <c r="T76" i="24" s="1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1" i="24"/>
  <c r="Q41" i="24"/>
  <c r="R3" i="24"/>
  <c r="S3" i="24"/>
  <c r="E38" i="6"/>
  <c r="S31" i="24" s="1"/>
  <c r="F38" i="6"/>
  <c r="T31" i="24" s="1"/>
  <c r="B93" i="6"/>
  <c r="B103" i="6"/>
  <c r="P95" i="24" s="1"/>
  <c r="B113" i="6"/>
  <c r="P105" i="24" s="1"/>
  <c r="B123" i="6"/>
  <c r="P115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U57" i="20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R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E6" i="1" s="1"/>
  <c r="F18" i="23"/>
  <c r="K6" i="3" s="1"/>
  <c r="E18" i="23"/>
  <c r="J6" i="3" s="1"/>
  <c r="D18" i="23"/>
  <c r="I6" i="3" s="1"/>
  <c r="E5" i="13"/>
  <c r="E5" i="12"/>
  <c r="I25" i="23"/>
  <c r="D23" i="23"/>
  <c r="B6" i="11"/>
  <c r="I23" i="23"/>
  <c r="G6" i="11"/>
  <c r="H23" i="23"/>
  <c r="F6" i="11"/>
  <c r="G23" i="23"/>
  <c r="E6" i="10"/>
  <c r="F23" i="23"/>
  <c r="D6" i="10"/>
  <c r="E23" i="23"/>
  <c r="C6" i="10"/>
  <c r="G5" i="13"/>
  <c r="G5" i="12"/>
  <c r="C11" i="23"/>
  <c r="A2" i="11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K8" i="3"/>
  <c r="Y3" i="17" s="1"/>
  <c r="J8" i="3"/>
  <c r="X3" i="17" s="1"/>
  <c r="H8" i="3"/>
  <c r="V3" i="17" s="1"/>
  <c r="G8" i="3"/>
  <c r="U3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B72" i="4" s="1"/>
  <c r="B55" i="4"/>
  <c r="B53" i="4"/>
  <c r="P30" i="18" s="1"/>
  <c r="B49" i="4"/>
  <c r="B48" i="4"/>
  <c r="P26" i="18"/>
  <c r="B37" i="4"/>
  <c r="P19" i="18" s="1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E57" i="1"/>
  <c r="E63" i="1"/>
  <c r="P106" i="15" s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25" i="4"/>
  <c r="P14" i="18" s="1"/>
  <c r="C70" i="4"/>
  <c r="Q37" i="18" s="1"/>
  <c r="D70" i="4"/>
  <c r="R37" i="18"/>
  <c r="C68" i="4"/>
  <c r="Q36" i="18" s="1"/>
  <c r="D68" i="4"/>
  <c r="C64" i="4"/>
  <c r="Q33" i="18" s="1"/>
  <c r="D64" i="4"/>
  <c r="R33" i="18" s="1"/>
  <c r="C63" i="4"/>
  <c r="Q32" i="18" s="1"/>
  <c r="D63" i="4"/>
  <c r="Q26" i="18"/>
  <c r="C55" i="4"/>
  <c r="C57" i="4" s="1"/>
  <c r="C59" i="4" s="1"/>
  <c r="D55" i="4"/>
  <c r="R31" i="18" s="1"/>
  <c r="Q30" i="18"/>
  <c r="R26" i="18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C44" i="4" s="1"/>
  <c r="D37" i="4"/>
  <c r="C17" i="4"/>
  <c r="Q9" i="18"/>
  <c r="C13" i="4"/>
  <c r="Q6" i="18" s="1"/>
  <c r="D13" i="4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R32" i="18"/>
  <c r="R36" i="18"/>
  <c r="R19" i="18"/>
  <c r="R30" i="18"/>
  <c r="P12" i="18"/>
  <c r="P13" i="18"/>
  <c r="Q67" i="15"/>
  <c r="P3" i="26"/>
  <c r="C29" i="13"/>
  <c r="Q22" i="31" s="1"/>
  <c r="U21" i="26"/>
  <c r="F8" i="2"/>
  <c r="T3" i="16" s="1"/>
  <c r="T13" i="16"/>
  <c r="P27" i="18"/>
  <c r="F31" i="12"/>
  <c r="T23" i="30" s="1"/>
  <c r="R35" i="24"/>
  <c r="D38" i="6"/>
  <c r="S13" i="27"/>
  <c r="P85" i="24"/>
  <c r="Q109" i="24"/>
  <c r="G32" i="10"/>
  <c r="U23" i="28" s="1"/>
  <c r="U12" i="31"/>
  <c r="U66" i="26"/>
  <c r="G71" i="8"/>
  <c r="U63" i="26" s="1"/>
  <c r="U6" i="27"/>
  <c r="G12" i="9"/>
  <c r="Q13" i="27"/>
  <c r="C33" i="9"/>
  <c r="Q24" i="27"/>
  <c r="E30" i="11"/>
  <c r="S22" i="29" s="1"/>
  <c r="S2" i="29"/>
  <c r="B9" i="6"/>
  <c r="G61" i="8"/>
  <c r="U53" i="26" s="1"/>
  <c r="U54" i="26"/>
  <c r="R2" i="30"/>
  <c r="B6" i="10"/>
  <c r="D6" i="11"/>
  <c r="A2" i="13"/>
  <c r="U5" i="27"/>
  <c r="U35" i="24"/>
  <c r="Q27" i="18"/>
  <c r="P22" i="18"/>
  <c r="B44" i="4"/>
  <c r="P25" i="18" s="1"/>
  <c r="P21" i="28"/>
  <c r="B32" i="10"/>
  <c r="P23" i="28" s="1"/>
  <c r="G30" i="11"/>
  <c r="U22" i="29" s="1"/>
  <c r="Q2" i="30"/>
  <c r="C31" i="12"/>
  <c r="Q23" i="30" s="1"/>
  <c r="P12" i="31"/>
  <c r="B29" i="13"/>
  <c r="P22" i="31" s="1"/>
  <c r="C6" i="1"/>
  <c r="F6" i="1"/>
  <c r="U22" i="26"/>
  <c r="G27" i="8"/>
  <c r="U20" i="26" s="1"/>
  <c r="U17" i="27"/>
  <c r="G24" i="9"/>
  <c r="U16" i="27" s="1"/>
  <c r="C41" i="5"/>
  <c r="Q34" i="20" s="1"/>
  <c r="P42" i="15"/>
  <c r="P4" i="15"/>
  <c r="A2" i="10"/>
  <c r="A2" i="12"/>
  <c r="F6" i="10"/>
  <c r="D31" i="12"/>
  <c r="R23" i="30" s="1"/>
  <c r="B31" i="12"/>
  <c r="P23" i="30" s="1"/>
  <c r="Q19" i="18"/>
  <c r="Q10" i="20"/>
  <c r="S12" i="26"/>
  <c r="F30" i="11"/>
  <c r="T22" i="29" s="1"/>
  <c r="T2" i="29"/>
  <c r="U37" i="26"/>
  <c r="G44" i="8"/>
  <c r="U36" i="26" s="1"/>
  <c r="G16" i="9"/>
  <c r="E32" i="10"/>
  <c r="S23" i="28" s="1"/>
  <c r="C32" i="10"/>
  <c r="Q23" i="28" s="1"/>
  <c r="G37" i="8"/>
  <c r="U30" i="26" s="1"/>
  <c r="C77" i="8"/>
  <c r="Q68" i="26" s="1"/>
  <c r="Q2" i="26"/>
  <c r="R2" i="31"/>
  <c r="G42" i="5"/>
  <c r="U35" i="20" s="1"/>
  <c r="T12" i="26"/>
  <c r="Q12" i="26"/>
  <c r="D9" i="8"/>
  <c r="R2" i="26" s="1"/>
  <c r="F33" i="9"/>
  <c r="T24" i="27" s="1"/>
  <c r="R2" i="27"/>
  <c r="F32" i="10"/>
  <c r="T23" i="28"/>
  <c r="D32" i="10"/>
  <c r="R23" i="28" s="1"/>
  <c r="S21" i="28"/>
  <c r="Q21" i="28"/>
  <c r="E31" i="12"/>
  <c r="S23" i="30" s="1"/>
  <c r="B5" i="12"/>
  <c r="A2" i="5"/>
  <c r="A2" i="9"/>
  <c r="A2" i="8"/>
  <c r="A2" i="1"/>
  <c r="A2" i="6"/>
  <c r="A2" i="4"/>
  <c r="A2" i="3"/>
  <c r="A2" i="2"/>
  <c r="A2" i="7"/>
  <c r="G6" i="10"/>
  <c r="C5" i="12"/>
  <c r="C6" i="11"/>
  <c r="E6" i="11"/>
  <c r="D5" i="12"/>
  <c r="A2" i="14"/>
  <c r="P54" i="15"/>
  <c r="P2" i="27"/>
  <c r="F41" i="5"/>
  <c r="T34" i="20" s="1"/>
  <c r="G70" i="5"/>
  <c r="T10" i="20"/>
  <c r="U9" i="27"/>
  <c r="G9" i="9"/>
  <c r="U2" i="27" s="1"/>
  <c r="G20" i="3" l="1"/>
  <c r="U5" i="17" s="1"/>
  <c r="B74" i="4"/>
  <c r="P39" i="18" s="1"/>
  <c r="P38" i="18"/>
  <c r="P34" i="20"/>
  <c r="B70" i="5"/>
  <c r="B84" i="6"/>
  <c r="P76" i="24" s="1"/>
  <c r="C47" i="1"/>
  <c r="B33" i="4"/>
  <c r="P18" i="18" s="1"/>
  <c r="G53" i="8"/>
  <c r="U45" i="26" s="1"/>
  <c r="B77" i="8"/>
  <c r="P68" i="26" s="1"/>
  <c r="G8" i="2"/>
  <c r="F47" i="1"/>
  <c r="D8" i="2"/>
  <c r="D20" i="2" s="1"/>
  <c r="R13" i="16" s="1"/>
  <c r="D72" i="4"/>
  <c r="D74" i="4" s="1"/>
  <c r="R39" i="18" s="1"/>
  <c r="F5" i="12"/>
  <c r="P10" i="20"/>
  <c r="E41" i="5"/>
  <c r="E70" i="5" s="1"/>
  <c r="S3" i="26"/>
  <c r="B11" i="4"/>
  <c r="C70" i="5"/>
  <c r="P2" i="24"/>
  <c r="H8" i="2"/>
  <c r="H20" i="2" s="1"/>
  <c r="V13" i="16" s="1"/>
  <c r="D44" i="4"/>
  <c r="Q31" i="18"/>
  <c r="B57" i="4"/>
  <c r="B59" i="4" s="1"/>
  <c r="C30" i="11"/>
  <c r="Q22" i="29" s="1"/>
  <c r="B30" i="11"/>
  <c r="P22" i="29" s="1"/>
  <c r="B8" i="2"/>
  <c r="C8" i="2"/>
  <c r="B33" i="9"/>
  <c r="P24" i="27" s="1"/>
  <c r="R2" i="29"/>
  <c r="G28" i="6"/>
  <c r="E47" i="1"/>
  <c r="P95" i="15" s="1"/>
  <c r="Q25" i="18"/>
  <c r="C11" i="4"/>
  <c r="R38" i="18"/>
  <c r="G123" i="6"/>
  <c r="U115" i="24" s="1"/>
  <c r="R95" i="24"/>
  <c r="G103" i="6"/>
  <c r="U95" i="24" s="1"/>
  <c r="F9" i="8"/>
  <c r="T2" i="26" s="1"/>
  <c r="T3" i="26"/>
  <c r="G28" i="9"/>
  <c r="U21" i="27"/>
  <c r="R41" i="24"/>
  <c r="G48" i="6"/>
  <c r="U41" i="24" s="1"/>
  <c r="E59" i="1"/>
  <c r="F79" i="1"/>
  <c r="Q119" i="15" s="1"/>
  <c r="R31" i="24"/>
  <c r="G38" i="6"/>
  <c r="U31" i="24" s="1"/>
  <c r="R3" i="16"/>
  <c r="D57" i="4"/>
  <c r="D59" i="4" s="1"/>
  <c r="B6" i="1"/>
  <c r="C72" i="4"/>
  <c r="E8" i="2"/>
  <c r="R6" i="18"/>
  <c r="E79" i="1"/>
  <c r="P119" i="15" s="1"/>
  <c r="S14" i="16"/>
  <c r="Q3" i="26"/>
  <c r="E29" i="13"/>
  <c r="S22" i="31" s="1"/>
  <c r="S2" i="31"/>
  <c r="R105" i="24"/>
  <c r="G113" i="6"/>
  <c r="U105" i="24" s="1"/>
  <c r="G93" i="6"/>
  <c r="D84" i="6"/>
  <c r="R76" i="24" s="1"/>
  <c r="D33" i="9"/>
  <c r="R24" i="27" s="1"/>
  <c r="G31" i="12"/>
  <c r="U23" i="30" s="1"/>
  <c r="G19" i="8"/>
  <c r="G10" i="6"/>
  <c r="R11" i="24"/>
  <c r="G18" i="6"/>
  <c r="U11" i="24" s="1"/>
  <c r="G29" i="13"/>
  <c r="U22" i="31" s="1"/>
  <c r="S34" i="20"/>
  <c r="D70" i="5"/>
  <c r="F70" i="5"/>
  <c r="U2" i="30"/>
  <c r="C9" i="7"/>
  <c r="Q2" i="25" s="1"/>
  <c r="G9" i="7"/>
  <c r="U2" i="25" s="1"/>
  <c r="G54" i="7"/>
  <c r="U3" i="25" s="1"/>
  <c r="E68" i="7"/>
  <c r="S4" i="25" s="1"/>
  <c r="D68" i="7"/>
  <c r="R4" i="25" s="1"/>
  <c r="C9" i="6"/>
  <c r="Q2" i="24" s="1"/>
  <c r="F9" i="6"/>
  <c r="T2" i="24" s="1"/>
  <c r="F68" i="7"/>
  <c r="T4" i="25" s="1"/>
  <c r="J20" i="3"/>
  <c r="X5" i="17" s="1"/>
  <c r="B68" i="7"/>
  <c r="P4" i="25" s="1"/>
  <c r="H20" i="3"/>
  <c r="V5" i="17" s="1"/>
  <c r="I20" i="3"/>
  <c r="W5" i="17" s="1"/>
  <c r="E33" i="9"/>
  <c r="S24" i="27" s="1"/>
  <c r="F77" i="8"/>
  <c r="T68" i="26" s="1"/>
  <c r="D77" i="8"/>
  <c r="R68" i="26" s="1"/>
  <c r="E77" i="8"/>
  <c r="S68" i="26" s="1"/>
  <c r="S105" i="24"/>
  <c r="E84" i="6"/>
  <c r="S76" i="24" s="1"/>
  <c r="C84" i="6"/>
  <c r="R85" i="24"/>
  <c r="D9" i="6"/>
  <c r="T21" i="24"/>
  <c r="U21" i="24"/>
  <c r="E9" i="6"/>
  <c r="S2" i="24" s="1"/>
  <c r="E20" i="3"/>
  <c r="S5" i="17" s="1"/>
  <c r="S3" i="17"/>
  <c r="K20" i="3"/>
  <c r="Y5" i="17" s="1"/>
  <c r="D11" i="4" l="1"/>
  <c r="R25" i="18"/>
  <c r="G20" i="2"/>
  <c r="U13" i="16" s="1"/>
  <c r="U3" i="16"/>
  <c r="B8" i="4"/>
  <c r="P2" i="18" s="1"/>
  <c r="P5" i="18"/>
  <c r="C62" i="1"/>
  <c r="Q54" i="15" s="1"/>
  <c r="Q42" i="15"/>
  <c r="C20" i="2"/>
  <c r="Q13" i="16" s="1"/>
  <c r="Q3" i="16"/>
  <c r="G43" i="8"/>
  <c r="U35" i="26" s="1"/>
  <c r="V3" i="16"/>
  <c r="B20" i="2"/>
  <c r="P13" i="16" s="1"/>
  <c r="P3" i="16"/>
  <c r="F59" i="1"/>
  <c r="Q104" i="15" s="1"/>
  <c r="Q95" i="15"/>
  <c r="B159" i="6"/>
  <c r="P150" i="24" s="1"/>
  <c r="U12" i="26"/>
  <c r="G9" i="8"/>
  <c r="G84" i="6"/>
  <c r="U76" i="24" s="1"/>
  <c r="U85" i="24"/>
  <c r="C74" i="4"/>
  <c r="Q39" i="18" s="1"/>
  <c r="Q38" i="18"/>
  <c r="G9" i="6"/>
  <c r="U3" i="24"/>
  <c r="S3" i="16"/>
  <c r="E20" i="2"/>
  <c r="S13" i="16" s="1"/>
  <c r="E81" i="1"/>
  <c r="P120" i="15" s="1"/>
  <c r="P104" i="15"/>
  <c r="U20" i="27"/>
  <c r="G21" i="9"/>
  <c r="Q5" i="18"/>
  <c r="C8" i="4"/>
  <c r="C68" i="7"/>
  <c r="Q4" i="25" s="1"/>
  <c r="G68" i="7"/>
  <c r="U4" i="25" s="1"/>
  <c r="F159" i="6"/>
  <c r="T150" i="24" s="1"/>
  <c r="Q76" i="24"/>
  <c r="C159" i="6"/>
  <c r="Q150" i="24" s="1"/>
  <c r="D159" i="6"/>
  <c r="R150" i="24" s="1"/>
  <c r="R2" i="24"/>
  <c r="E159" i="6"/>
  <c r="S150" i="24" s="1"/>
  <c r="F81" i="1" l="1"/>
  <c r="Q120" i="15" s="1"/>
  <c r="R5" i="18"/>
  <c r="D8" i="4"/>
  <c r="C21" i="4"/>
  <c r="Q2" i="18"/>
  <c r="U13" i="27"/>
  <c r="G33" i="9"/>
  <c r="U24" i="27" s="1"/>
  <c r="U2" i="26"/>
  <c r="G77" i="8"/>
  <c r="U68" i="26" s="1"/>
  <c r="U2" i="24"/>
  <c r="G159" i="6"/>
  <c r="U150" i="24" s="1"/>
  <c r="R2" i="18" l="1"/>
  <c r="D21" i="4"/>
  <c r="Q12" i="18"/>
  <c r="C23" i="4"/>
  <c r="R12" i="18" l="1"/>
  <c r="D23" i="4"/>
  <c r="Q13" i="18"/>
  <c r="C25" i="4"/>
  <c r="D25" i="4" l="1"/>
  <c r="R13" i="18"/>
  <c r="Q14" i="18"/>
  <c r="C33" i="4"/>
  <c r="Q18" i="18" s="1"/>
  <c r="D33" i="4" l="1"/>
  <c r="R18" i="18" s="1"/>
  <c r="R14" i="18"/>
</calcChain>
</file>

<file path=xl/sharedStrings.xml><?xml version="1.0" encoding="utf-8"?>
<sst xmlns="http://schemas.openxmlformats.org/spreadsheetml/2006/main" count="4282" uniqueCount="3352">
  <si>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</si>
  <si>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</si>
  <si>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</si>
  <si>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</si>
  <si>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</si>
  <si>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</si>
  <si>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</si>
  <si>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</si>
  <si>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</si>
  <si>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</si>
  <si>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</si>
  <si>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</si>
  <si>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</si>
  <si>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</si>
  <si>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</si>
  <si>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</si>
  <si>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</si>
  <si>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</si>
  <si>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</si>
  <si>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</si>
  <si>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</si>
  <si>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</si>
  <si>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</si>
  <si>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</si>
  <si>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</si>
  <si>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</si>
  <si>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</si>
  <si>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</si>
  <si>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</si>
  <si>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</si>
  <si>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</si>
  <si>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</si>
  <si>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</si>
  <si>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</si>
  <si>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</si>
  <si>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</si>
  <si>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</si>
  <si>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</si>
  <si>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</si>
  <si>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</si>
  <si>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</si>
  <si>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</si>
  <si>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</si>
  <si>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</si>
  <si>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</si>
  <si>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</si>
  <si>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</si>
  <si>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</si>
  <si>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</si>
  <si>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</si>
  <si>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</si>
  <si>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</si>
  <si>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</si>
  <si>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</si>
  <si>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</si>
  <si>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</si>
  <si>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</si>
  <si>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</si>
  <si>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</si>
  <si>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</si>
  <si>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</si>
  <si>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</si>
  <si>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</si>
  <si>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</si>
  <si>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</si>
  <si>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</si>
  <si>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</si>
  <si>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</si>
  <si>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</si>
  <si>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</si>
  <si>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</si>
  <si>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</si>
  <si>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</si>
  <si>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</si>
  <si>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</si>
  <si>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</si>
  <si>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</si>
  <si>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</si>
  <si>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</si>
  <si>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</si>
  <si>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</si>
  <si>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</si>
  <si>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</si>
  <si>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</si>
  <si>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</si>
  <si>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</si>
  <si>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</si>
  <si>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</si>
  <si>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</si>
  <si>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</si>
  <si>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</si>
  <si>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</si>
  <si>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</si>
  <si>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</si>
  <si>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</si>
  <si>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</si>
  <si>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</si>
  <si>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</si>
  <si>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</si>
  <si>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</si>
  <si>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</si>
  <si>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</si>
  <si>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</si>
  <si>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</si>
  <si>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</si>
  <si>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</si>
  <si>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</si>
  <si>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</si>
  <si>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</si>
  <si>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</si>
  <si>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</si>
  <si>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</si>
  <si>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</si>
  <si>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</si>
  <si>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</si>
  <si>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</si>
  <si>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</si>
  <si>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</si>
  <si>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</si>
  <si>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</si>
  <si>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</si>
  <si>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</si>
  <si>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</si>
  <si>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</si>
  <si>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</si>
  <si>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</si>
  <si>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</si>
  <si>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</si>
  <si>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</si>
  <si>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</si>
  <si>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</si>
  <si>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</si>
  <si>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</si>
  <si>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</si>
  <si>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</si>
  <si>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</si>
  <si>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</si>
  <si>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</si>
  <si>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</si>
  <si>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</si>
  <si>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</si>
  <si>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</si>
  <si>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</si>
  <si>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</si>
  <si>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</si>
  <si>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</si>
  <si>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</si>
  <si>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</si>
  <si>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</si>
  <si>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</si>
  <si>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</si>
  <si>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</si>
  <si>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</si>
  <si>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</si>
  <si>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</si>
  <si>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</si>
  <si>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</si>
  <si>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</si>
  <si>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</si>
  <si>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</si>
  <si>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</si>
  <si>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</si>
  <si>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</si>
  <si>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</si>
  <si>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</si>
  <si>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</si>
  <si>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</si>
  <si>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</si>
  <si>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</si>
  <si>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</si>
  <si>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</si>
  <si>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</si>
  <si>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</si>
  <si>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</si>
  <si>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</si>
  <si>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</si>
  <si>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</si>
  <si>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</si>
  <si>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</si>
  <si>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</si>
  <si>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</si>
  <si>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</si>
  <si>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</si>
  <si>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</si>
  <si>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</si>
  <si>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</si>
  <si>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</si>
  <si>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</si>
  <si>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</si>
  <si>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</si>
  <si>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</si>
  <si>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</si>
  <si>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</si>
  <si>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</si>
  <si>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</si>
  <si>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</si>
  <si>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</si>
  <si>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</si>
  <si>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</si>
  <si>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</si>
  <si>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</si>
  <si>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</si>
  <si>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</si>
  <si>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</si>
  <si>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</si>
  <si>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</si>
  <si>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</si>
  <si>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</si>
  <si>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</si>
  <si>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</si>
  <si>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</si>
  <si>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</si>
  <si>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</si>
  <si>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</si>
  <si>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</si>
  <si>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</si>
  <si>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</si>
  <si>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</si>
  <si>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</si>
  <si>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</si>
  <si>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</si>
  <si>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</si>
  <si>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</si>
  <si>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</si>
  <si>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</si>
  <si>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</si>
  <si>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</si>
  <si>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</si>
  <si>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</si>
  <si>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</si>
  <si>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</si>
  <si>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</si>
  <si>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</si>
  <si>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</si>
  <si>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</si>
  <si>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</si>
  <si>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</si>
  <si>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</si>
  <si>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</si>
  <si>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</si>
  <si>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</si>
  <si>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</si>
  <si>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</si>
  <si>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</si>
  <si>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</si>
  <si>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</si>
  <si>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</si>
  <si>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</si>
  <si>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</si>
  <si>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</si>
  <si>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</si>
  <si>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</si>
  <si>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</si>
  <si>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</si>
  <si>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</si>
  <si>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</si>
  <si>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</si>
  <si>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</si>
  <si>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</si>
  <si>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</si>
  <si>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</si>
  <si>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</si>
  <si>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</si>
  <si>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</si>
  <si>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</si>
  <si>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</si>
  <si>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</si>
  <si>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</si>
  <si>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</si>
  <si>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</si>
  <si>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</si>
  <si>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</si>
  <si>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</si>
  <si>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</si>
  <si>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</si>
  <si>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</si>
  <si>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</si>
  <si>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</si>
  <si>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</si>
  <si>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</si>
  <si>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</si>
  <si>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</si>
  <si>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</si>
  <si>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</si>
  <si>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</si>
  <si>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</si>
  <si>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</si>
  <si>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</si>
  <si>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</si>
  <si>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</si>
  <si>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</si>
  <si>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</si>
  <si>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</si>
  <si>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</si>
  <si>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</si>
  <si>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</si>
  <si>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</si>
  <si>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</si>
  <si>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</si>
  <si>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</si>
  <si>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</si>
  <si>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</si>
  <si>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</si>
  <si>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</si>
  <si>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</si>
  <si>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</si>
  <si>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</si>
  <si>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</si>
  <si>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</si>
  <si>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</si>
  <si>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</si>
  <si>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</si>
  <si>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</si>
  <si>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</si>
  <si>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</si>
  <si>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</si>
  <si>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</si>
  <si>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</si>
  <si>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</si>
  <si>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</si>
  <si>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</si>
  <si>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</si>
  <si>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</si>
  <si>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</si>
  <si>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</si>
  <si>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</si>
  <si>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</si>
  <si>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</si>
  <si>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</si>
  <si>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</si>
  <si>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</si>
  <si>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</si>
  <si>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</si>
  <si>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</si>
  <si>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</si>
  <si>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</si>
  <si>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</si>
  <si>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</si>
  <si>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</si>
  <si>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</si>
  <si>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</si>
  <si>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</si>
  <si>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</si>
  <si>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</si>
  <si>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</si>
  <si>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</si>
  <si>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</si>
  <si>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</si>
  <si>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</si>
  <si>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</si>
  <si>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</si>
  <si>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</si>
  <si>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</si>
  <si>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</si>
  <si>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</si>
  <si>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</si>
  <si>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</si>
  <si>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</si>
  <si>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</si>
  <si>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</si>
  <si>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</si>
  <si>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</si>
  <si>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</si>
  <si>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</si>
  <si>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</si>
  <si>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</si>
  <si>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</si>
  <si>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</si>
  <si>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</si>
  <si>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</si>
  <si>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</si>
  <si>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</si>
  <si>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</si>
  <si>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</si>
  <si>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</si>
  <si>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</si>
  <si>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</si>
  <si>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</si>
  <si>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</si>
  <si>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</si>
  <si>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</si>
  <si>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</si>
  <si>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</si>
  <si>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</si>
  <si>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</si>
  <si>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</si>
  <si>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</si>
  <si>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</si>
  <si>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</si>
  <si>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</si>
  <si>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</si>
  <si>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</si>
  <si>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</si>
  <si>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</si>
  <si>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</si>
  <si>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</si>
  <si>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</si>
  <si>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</si>
  <si>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</si>
  <si>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</si>
  <si>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</si>
  <si>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</si>
  <si>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</si>
  <si>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</si>
  <si>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</si>
  <si>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</si>
  <si>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</si>
  <si>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</si>
  <si>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</si>
  <si>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</si>
  <si>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</si>
  <si>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</si>
  <si>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</si>
  <si>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</si>
  <si>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</si>
  <si>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</si>
  <si>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</si>
  <si>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</si>
  <si>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</si>
  <si>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</si>
  <si>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</si>
  <si>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</si>
  <si>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</si>
  <si>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</si>
  <si>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</si>
  <si>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</si>
  <si>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</si>
  <si>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</si>
  <si>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</si>
  <si>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</si>
  <si>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</si>
  <si>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</si>
  <si>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</si>
  <si>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</si>
  <si>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</si>
  <si>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</si>
  <si>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</si>
  <si>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</si>
  <si>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</si>
  <si>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</si>
  <si>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</si>
  <si>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</si>
  <si>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</si>
  <si>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</si>
  <si>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</si>
  <si>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</si>
  <si>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</si>
  <si>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</si>
  <si>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</si>
  <si>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</si>
  <si>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</si>
  <si>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</si>
  <si>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</si>
  <si>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</si>
  <si>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</si>
  <si>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</si>
  <si>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</si>
  <si>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</si>
  <si>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</si>
  <si>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</si>
  <si>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</si>
  <si>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</si>
  <si>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</si>
  <si>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</si>
  <si>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</si>
  <si>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</si>
  <si>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</si>
  <si>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</si>
  <si>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</si>
  <si>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</si>
  <si>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</si>
  <si>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</si>
  <si>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</si>
  <si>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</si>
  <si>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</si>
  <si>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</si>
  <si>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</si>
  <si>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</si>
  <si>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</si>
  <si>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</si>
  <si>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</si>
  <si>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</si>
  <si>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</si>
  <si>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</si>
  <si>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</si>
  <si>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</si>
  <si>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</si>
  <si>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</si>
  <si>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</si>
  <si>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</si>
  <si>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</si>
  <si>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</si>
  <si>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</si>
  <si>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</si>
  <si>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</si>
  <si>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</si>
  <si>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</si>
  <si>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</si>
  <si>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</si>
  <si>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</si>
  <si>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</si>
  <si>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</si>
  <si>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</si>
  <si>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</si>
  <si>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</si>
  <si>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</si>
  <si>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</si>
  <si>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</si>
  <si>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</si>
  <si>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</si>
  <si>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</si>
  <si>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</si>
  <si>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</si>
  <si>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</si>
  <si>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</si>
  <si>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</si>
  <si>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</si>
  <si>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</si>
  <si>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</si>
  <si>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</si>
  <si>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</si>
  <si>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</si>
  <si>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</si>
  <si>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</si>
  <si>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</si>
  <si>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</si>
  <si>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</si>
  <si>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</si>
  <si>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</si>
  <si>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</si>
  <si>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</si>
  <si>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</si>
  <si>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</si>
  <si>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</si>
  <si>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</si>
  <si>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</si>
  <si>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</si>
  <si>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</si>
  <si>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</si>
  <si>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</si>
  <si>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</si>
  <si>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</si>
  <si>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</si>
  <si>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</si>
  <si>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</si>
  <si>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</si>
  <si>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</si>
  <si>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</si>
  <si>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</si>
  <si>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</si>
  <si>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</si>
  <si>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</si>
  <si>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</si>
  <si>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</si>
  <si>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</si>
  <si>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</si>
  <si>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</si>
  <si>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</si>
  <si>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</si>
  <si>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</si>
  <si>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</si>
  <si>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</si>
  <si>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</si>
  <si>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</si>
  <si>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</si>
  <si>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</si>
  <si>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</si>
  <si>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</si>
  <si>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</si>
  <si>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</si>
  <si>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</si>
  <si>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</si>
  <si>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</si>
  <si>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</si>
  <si>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</si>
  <si>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</si>
  <si>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</si>
  <si>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</si>
  <si>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</si>
  <si>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</si>
  <si>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</si>
  <si>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</si>
  <si>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</si>
  <si>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</si>
  <si>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</si>
  <si>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</si>
  <si>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</si>
  <si>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</si>
  <si>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</si>
  <si>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</si>
  <si>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</si>
  <si>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</si>
  <si>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</si>
  <si>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</si>
  <si>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</si>
  <si>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</si>
  <si>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</si>
  <si>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</si>
  <si>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</si>
  <si>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</si>
  <si>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</si>
  <si>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</si>
  <si>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</si>
  <si>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</si>
  <si>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</si>
  <si>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</si>
  <si>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</si>
  <si>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</si>
  <si>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</si>
  <si>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</si>
  <si>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</si>
  <si>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</si>
  <si>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</si>
  <si>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</si>
  <si>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</si>
  <si>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</si>
  <si>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</si>
  <si>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</si>
  <si>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</si>
  <si>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</si>
  <si>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</si>
  <si>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</si>
  <si>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</si>
  <si>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</si>
  <si>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</si>
  <si>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</si>
  <si>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</si>
  <si>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</si>
  <si>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</si>
  <si>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</si>
  <si>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</si>
  <si>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</si>
  <si>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</si>
  <si>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</si>
  <si>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</si>
  <si>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</si>
  <si>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</si>
  <si>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</si>
  <si>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</si>
  <si>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</si>
  <si>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</si>
  <si>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</si>
  <si>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</si>
  <si>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</si>
  <si>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</si>
  <si>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</si>
  <si>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</si>
  <si>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</si>
  <si>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</si>
  <si>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</si>
  <si>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</si>
  <si>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</si>
  <si>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</si>
  <si>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</si>
  <si>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</si>
  <si>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</si>
  <si>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</si>
  <si>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</si>
  <si>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</si>
  <si>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</si>
  <si>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</si>
  <si>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</si>
  <si>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</si>
  <si>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</si>
  <si>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</si>
  <si>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</si>
  <si>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</si>
  <si>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</si>
  <si>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</si>
  <si>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</si>
  <si>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</si>
  <si>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</si>
  <si>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</si>
  <si>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</si>
  <si>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</si>
  <si>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</si>
  <si>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</si>
  <si>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</si>
  <si>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</si>
  <si>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</si>
  <si>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</si>
  <si>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</si>
  <si>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</si>
  <si>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</si>
  <si>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</si>
  <si>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</si>
  <si>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</si>
  <si>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</si>
  <si>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</si>
  <si>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</si>
  <si>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</si>
  <si>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</si>
  <si>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</si>
  <si>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</si>
  <si>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</si>
  <si>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</si>
  <si>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</si>
  <si>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</si>
  <si>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</si>
  <si>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</si>
  <si>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</si>
  <si>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</si>
  <si>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</si>
  <si>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</si>
  <si>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</si>
  <si>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</si>
  <si>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</si>
  <si>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</si>
  <si>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</si>
  <si>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</si>
  <si>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</si>
  <si>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</si>
  <si>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</si>
  <si>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</si>
  <si>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</si>
  <si>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</si>
  <si>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</si>
  <si>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</si>
  <si>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</si>
  <si>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</si>
  <si>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</si>
  <si>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</si>
  <si>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</si>
  <si>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</si>
  <si>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</si>
  <si>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</si>
  <si>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</si>
  <si>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</si>
  <si>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</si>
  <si>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</si>
  <si>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</si>
  <si>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</si>
  <si>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</si>
  <si>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</si>
  <si>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</si>
  <si>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</si>
  <si>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</si>
  <si>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</si>
  <si>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</si>
  <si>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</si>
  <si>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</si>
  <si>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</si>
  <si>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</si>
  <si>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</si>
  <si>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</si>
  <si>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</si>
  <si>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</si>
  <si>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</si>
  <si>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</si>
  <si>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</si>
  <si>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</si>
  <si>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</si>
  <si>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</si>
  <si>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</si>
  <si>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</si>
  <si>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</si>
  <si>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</si>
  <si>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</si>
  <si>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</si>
  <si>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</si>
  <si>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</si>
  <si>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</si>
  <si>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</si>
  <si>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</si>
  <si>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</si>
  <si>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</si>
  <si>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</si>
  <si>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</si>
  <si>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</si>
  <si>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</si>
  <si>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</si>
  <si>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</si>
  <si>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</si>
  <si>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</si>
  <si>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</si>
  <si>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</si>
  <si>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</si>
  <si>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</si>
  <si>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</si>
  <si>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</si>
  <si>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</si>
  <si>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</si>
  <si>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</si>
  <si>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</si>
  <si>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</si>
  <si>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</si>
  <si>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</si>
  <si>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</si>
  <si>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</si>
  <si>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</si>
  <si>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</si>
  <si>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</si>
  <si>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</si>
  <si>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</si>
  <si>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</si>
  <si>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</si>
  <si>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</si>
  <si>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</si>
  <si>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</si>
  <si>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</si>
  <si>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</si>
  <si>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</si>
  <si>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</si>
  <si>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</si>
  <si>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</si>
  <si>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</si>
  <si>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</si>
  <si>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</si>
  <si>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</si>
  <si>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</si>
  <si>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</si>
  <si>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</si>
  <si>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</si>
  <si>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</si>
  <si>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</si>
  <si>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</si>
  <si>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</si>
  <si>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</si>
  <si>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</si>
  <si>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</si>
  <si>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</si>
  <si>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</si>
  <si>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</si>
  <si>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</si>
  <si>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</si>
  <si>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</si>
  <si>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</si>
  <si>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</si>
  <si>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</si>
  <si>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</si>
  <si>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</si>
  <si>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</si>
  <si>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</si>
  <si>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</si>
  <si>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</si>
  <si>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</si>
  <si>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</si>
  <si>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</si>
  <si>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</si>
  <si>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</si>
  <si>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</si>
  <si>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</si>
  <si>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</si>
  <si>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</si>
  <si>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</si>
  <si>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</si>
  <si>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</si>
  <si>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</si>
  <si>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</si>
  <si>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</si>
  <si>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</si>
  <si>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</si>
  <si>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</si>
  <si>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</si>
  <si>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</si>
  <si>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</si>
  <si>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</si>
  <si>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</si>
  <si>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</si>
  <si>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</si>
  <si>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</si>
  <si>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</si>
  <si>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</si>
  <si>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</si>
  <si>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</si>
  <si>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</si>
  <si>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</si>
  <si>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</si>
  <si>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</si>
  <si>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</si>
  <si>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</si>
  <si>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</si>
  <si>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</si>
  <si>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</si>
  <si>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</si>
  <si>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</si>
  <si>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</si>
  <si>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</si>
  <si>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</si>
  <si>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</si>
  <si>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</si>
  <si>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</si>
  <si>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</si>
  <si>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</si>
  <si>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</si>
  <si>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</si>
  <si>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</si>
  <si>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</si>
  <si>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</si>
  <si>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</si>
  <si>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</si>
  <si>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</si>
  <si>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</si>
  <si>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</si>
  <si>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</si>
  <si>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</si>
  <si>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</si>
  <si>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</si>
  <si>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</si>
  <si>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</si>
  <si>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</si>
  <si>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</si>
  <si>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</si>
  <si>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</si>
  <si>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</si>
  <si>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</si>
  <si>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</si>
  <si>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</si>
  <si>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</si>
  <si>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</si>
  <si>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</si>
  <si>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</si>
  <si>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</si>
  <si>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</si>
  <si>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</si>
  <si>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</si>
  <si>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</si>
  <si>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</si>
  <si>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</si>
  <si>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</si>
  <si>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</si>
  <si>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</si>
  <si>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</si>
  <si>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</si>
  <si>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</si>
  <si>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</si>
  <si>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</si>
  <si>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</si>
  <si>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</si>
  <si>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</si>
  <si>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</si>
  <si>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</si>
  <si>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</si>
  <si>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</si>
  <si>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</si>
  <si>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</si>
  <si>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</si>
  <si>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</si>
  <si>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</si>
  <si>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</si>
  <si>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</si>
  <si>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</si>
  <si>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</si>
  <si>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</si>
  <si>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</si>
  <si>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</si>
  <si>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</si>
  <si>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</si>
  <si>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</si>
  <si>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</si>
  <si>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</si>
  <si>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</si>
  <si>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</si>
  <si>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</si>
  <si>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</si>
  <si>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</si>
  <si>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</si>
  <si>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</si>
  <si>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</si>
  <si>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</si>
  <si>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</si>
  <si>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</si>
  <si>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</si>
  <si>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</si>
  <si>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</si>
  <si>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</si>
  <si>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</si>
  <si>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</si>
  <si>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</si>
  <si>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</si>
  <si>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</si>
  <si>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</si>
  <si>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</si>
  <si>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</si>
  <si>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</si>
  <si>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</si>
  <si>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</si>
  <si>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</si>
  <si>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</si>
  <si>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</si>
  <si>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</si>
  <si>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</si>
  <si>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</si>
  <si>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</si>
  <si>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</si>
  <si>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</si>
  <si>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</si>
  <si>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</si>
  <si>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</si>
  <si>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</si>
  <si>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</si>
  <si>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</si>
  <si>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</si>
  <si>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</si>
  <si>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</si>
  <si>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</si>
  <si>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</si>
  <si>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</si>
  <si>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</si>
  <si>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</si>
  <si>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</si>
  <si>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</si>
  <si>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</si>
  <si>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</si>
  <si>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</si>
  <si>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</si>
  <si>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</si>
  <si>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</si>
  <si>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</si>
  <si>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</si>
  <si>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</si>
  <si>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</si>
  <si>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</si>
  <si>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</si>
  <si>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</si>
  <si>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</si>
  <si>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</si>
  <si>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</si>
  <si>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</si>
  <si>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</si>
  <si>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</si>
  <si>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</si>
  <si>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</si>
  <si>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</si>
  <si>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</si>
  <si>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</si>
  <si>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</si>
  <si>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</si>
  <si>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</si>
  <si>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</si>
  <si>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</si>
  <si>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</si>
  <si>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</si>
  <si>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</si>
  <si>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</si>
  <si>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</si>
  <si>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</si>
  <si>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</si>
  <si>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</si>
  <si>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</si>
  <si>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</si>
  <si>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</si>
  <si>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</si>
  <si>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</si>
  <si>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</si>
  <si>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</si>
  <si>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</si>
  <si>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</si>
  <si>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</si>
  <si>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</si>
  <si>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</si>
  <si>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</si>
  <si>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</si>
  <si>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</si>
  <si>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</si>
  <si>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</si>
  <si>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</si>
  <si>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</si>
  <si>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</si>
  <si>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</si>
  <si>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</si>
  <si>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</si>
  <si>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</si>
  <si>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</si>
  <si>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</si>
  <si>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</si>
  <si>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</si>
  <si>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</si>
  <si>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</si>
  <si>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</si>
  <si>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</si>
  <si>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</si>
  <si>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</si>
  <si>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</si>
  <si>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</si>
  <si>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</si>
  <si>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</si>
  <si>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</si>
  <si>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</si>
  <si>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</si>
  <si>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</si>
  <si>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</si>
  <si>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</si>
  <si>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</si>
  <si>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</si>
  <si>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</si>
  <si>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</si>
  <si>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</si>
  <si>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</si>
  <si>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</si>
  <si>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</si>
  <si>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</si>
  <si>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</si>
  <si>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</si>
  <si>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</si>
  <si>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</si>
  <si>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</si>
  <si>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</si>
  <si>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</si>
  <si>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</si>
  <si>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</si>
  <si>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</si>
  <si>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</si>
  <si>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</si>
  <si>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</si>
  <si>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</si>
  <si>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</si>
  <si>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</si>
  <si>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</si>
  <si>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</si>
  <si>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</si>
  <si>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</si>
  <si>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</si>
  <si>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</si>
  <si>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</si>
  <si>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</si>
  <si>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</si>
  <si>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</si>
  <si>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</si>
  <si>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</si>
  <si>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</si>
  <si>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</si>
  <si>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</si>
  <si>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</si>
  <si>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</si>
  <si>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</si>
  <si>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</si>
  <si>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</si>
  <si>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</si>
  <si>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</si>
  <si>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</si>
  <si>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</si>
  <si>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</si>
  <si>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</si>
  <si>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</si>
  <si>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</si>
  <si>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</si>
  <si>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</si>
  <si>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</si>
  <si>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</si>
  <si>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</si>
  <si>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</si>
  <si>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</si>
  <si>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</si>
  <si>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</si>
  <si>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</si>
  <si>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</si>
  <si>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</si>
  <si>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</si>
  <si>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</si>
  <si>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</si>
  <si>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</si>
  <si>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</si>
  <si>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</si>
  <si>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</si>
  <si>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</si>
  <si>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</si>
  <si>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</si>
  <si>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</si>
  <si>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</si>
  <si>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</si>
  <si>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</si>
  <si>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</si>
  <si>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</si>
  <si>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</si>
  <si>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</si>
  <si>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</si>
  <si>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</si>
  <si>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</si>
  <si>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</si>
  <si>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</si>
  <si>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</si>
  <si>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</si>
  <si>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</si>
  <si>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</si>
  <si>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</si>
  <si>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</si>
  <si>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</si>
  <si>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</si>
  <si>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</si>
  <si>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</si>
  <si>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</si>
  <si>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</si>
  <si>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</si>
  <si>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</si>
  <si>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</si>
  <si>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</si>
  <si>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</si>
  <si>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</si>
  <si>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</si>
  <si>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</si>
  <si>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</si>
  <si>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</si>
  <si>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</si>
  <si>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</si>
  <si>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</si>
  <si>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</si>
  <si>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</si>
  <si>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</si>
  <si>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</si>
  <si>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</si>
  <si>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</si>
  <si>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</si>
  <si>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</si>
  <si>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</si>
  <si>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</si>
  <si>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</si>
  <si>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</si>
  <si>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</si>
  <si>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</si>
  <si>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</si>
  <si>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</si>
  <si>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</si>
  <si>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</si>
  <si>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</si>
  <si>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</si>
  <si>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</si>
  <si>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</si>
  <si>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</si>
  <si>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</si>
  <si>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</si>
  <si>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</si>
  <si>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</si>
  <si>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</si>
  <si>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</si>
  <si>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</si>
  <si>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</si>
  <si>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</si>
  <si>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</si>
  <si>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</si>
  <si>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</si>
  <si>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</si>
  <si>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</si>
  <si>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</si>
  <si>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</si>
  <si>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</si>
  <si>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</si>
  <si>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</si>
  <si>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</si>
  <si>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</si>
  <si>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</si>
  <si>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</si>
  <si>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</si>
  <si>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</si>
  <si>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</si>
  <si>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</si>
  <si>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</si>
  <si>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</si>
  <si>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</si>
  <si>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</si>
  <si>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</si>
  <si>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</si>
  <si>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</si>
  <si>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</si>
  <si>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</si>
  <si>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</si>
  <si>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</si>
  <si>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</si>
  <si>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</si>
  <si>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</si>
  <si>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</si>
  <si>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</si>
  <si>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</si>
  <si>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</si>
  <si>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</si>
  <si>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</si>
  <si>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</si>
  <si>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</si>
  <si>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</si>
  <si>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</si>
  <si>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</si>
  <si>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</si>
  <si>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</si>
  <si>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</si>
  <si>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</si>
  <si>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</si>
  <si>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</si>
  <si>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</si>
  <si>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</si>
  <si>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</si>
  <si>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</si>
  <si>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</si>
  <si>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</si>
  <si>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</si>
  <si>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</si>
  <si>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</si>
  <si>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</si>
  <si>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</si>
  <si>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</si>
  <si>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</si>
  <si>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</si>
  <si>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</si>
  <si>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</si>
  <si>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</si>
  <si>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</si>
  <si>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</si>
  <si>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</si>
  <si>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</si>
  <si>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</si>
  <si>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</si>
  <si>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</si>
  <si>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</si>
  <si>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</si>
  <si>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</si>
  <si>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</si>
  <si>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</si>
  <si>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</si>
  <si>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</si>
  <si>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</si>
  <si>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</si>
  <si>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</si>
  <si>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</si>
  <si>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</si>
  <si>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</si>
  <si>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</si>
  <si>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</si>
  <si>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</si>
  <si>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</si>
  <si>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</si>
  <si>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</si>
  <si>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</si>
  <si>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</si>
  <si>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</si>
  <si>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</si>
  <si>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</si>
  <si>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</si>
  <si>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</si>
  <si>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</si>
  <si>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</si>
  <si>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</si>
  <si>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</si>
  <si>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</si>
  <si>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</si>
  <si>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</si>
  <si>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</si>
  <si>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</si>
  <si>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</si>
  <si>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</si>
  <si>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</si>
  <si>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</si>
  <si>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</si>
  <si>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</si>
  <si>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</si>
  <si>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</si>
  <si>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</si>
  <si>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</si>
  <si>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</si>
  <si>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</si>
  <si>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</si>
  <si>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</si>
  <si>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</si>
  <si>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</si>
  <si>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</si>
  <si>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</si>
  <si>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</si>
  <si>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</si>
  <si>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</si>
  <si>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</si>
  <si>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</si>
  <si>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</si>
  <si>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</si>
  <si>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</si>
  <si>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</si>
  <si>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</si>
  <si>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</si>
  <si>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</si>
  <si>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</si>
  <si>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</si>
  <si>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</si>
  <si>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</si>
  <si>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</si>
  <si>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</si>
  <si>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</si>
  <si>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</si>
  <si>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</si>
  <si>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</si>
  <si>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</si>
  <si>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</si>
  <si>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</si>
  <si>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</si>
  <si>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</si>
  <si>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</si>
  <si>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</si>
  <si>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</si>
  <si>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</si>
  <si>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</si>
  <si>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</si>
  <si>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</si>
  <si>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</si>
  <si>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</si>
  <si>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</si>
  <si>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</si>
  <si>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</si>
  <si>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</si>
  <si>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</si>
  <si>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</si>
  <si>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</si>
  <si>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</si>
  <si>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</si>
  <si>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</si>
  <si>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</si>
  <si>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</si>
  <si>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</si>
  <si>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</si>
  <si>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</si>
  <si>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</si>
  <si>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</si>
  <si>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</si>
  <si>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</si>
  <si>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</si>
  <si>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</si>
  <si>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</si>
  <si>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</si>
  <si>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</si>
  <si>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</si>
  <si>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</si>
  <si>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</si>
  <si>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</si>
  <si>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</si>
  <si>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</si>
  <si>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</si>
  <si>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</si>
  <si>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</si>
  <si>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</si>
  <si>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</si>
  <si>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</si>
  <si>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</si>
  <si>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</si>
  <si>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</si>
  <si>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</si>
  <si>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</si>
  <si>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</si>
  <si>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</si>
  <si>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</si>
  <si>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</si>
  <si>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</si>
  <si>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</si>
  <si>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</si>
  <si>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</si>
  <si>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</si>
  <si>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</si>
  <si>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</si>
  <si>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</si>
  <si>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</si>
  <si>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</si>
  <si>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</si>
  <si>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</si>
  <si>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</si>
  <si>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</si>
  <si>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</si>
  <si>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</si>
  <si>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</si>
  <si>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</si>
  <si>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</si>
  <si>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</si>
  <si>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</si>
  <si>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</si>
  <si>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</si>
  <si>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</si>
  <si>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</si>
  <si>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</si>
  <si>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</si>
  <si>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</si>
  <si>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</si>
  <si>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</si>
  <si>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</si>
  <si>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</si>
  <si>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</si>
  <si>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</si>
  <si>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</si>
  <si>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</si>
  <si>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</si>
  <si>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</si>
  <si>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</si>
  <si>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</si>
  <si>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</si>
  <si>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</si>
  <si>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</si>
  <si>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</si>
  <si>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</si>
  <si>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</si>
  <si>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</si>
  <si>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</si>
  <si>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</si>
  <si>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</si>
  <si>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</si>
  <si>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</si>
  <si>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</si>
  <si>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</si>
  <si>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</si>
  <si>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</si>
  <si>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</si>
  <si>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</si>
  <si>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</si>
  <si>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</si>
  <si>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</si>
  <si>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</si>
  <si>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</si>
  <si>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</si>
  <si>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</si>
  <si>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</si>
  <si>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</si>
  <si>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</si>
  <si>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</si>
  <si>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</si>
  <si>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</si>
  <si>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</si>
  <si>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</si>
  <si>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</si>
  <si>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</si>
  <si>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</si>
  <si>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</si>
  <si>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</si>
  <si>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</si>
  <si>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</si>
  <si>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</si>
  <si>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</si>
  <si>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</si>
  <si>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</si>
  <si>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</si>
  <si>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</si>
  <si>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</si>
  <si>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</si>
  <si>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</si>
  <si>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</si>
  <si>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</si>
  <si>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</si>
  <si>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</si>
  <si>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</si>
  <si>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</si>
  <si>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</si>
  <si>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</si>
  <si>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</si>
  <si>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</si>
  <si>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</si>
  <si>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</si>
  <si>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</si>
  <si>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</si>
  <si>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</si>
  <si>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</si>
  <si>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</si>
  <si>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</si>
  <si>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</si>
  <si>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</si>
  <si>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</si>
  <si>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</si>
  <si>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</si>
  <si>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</si>
  <si>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</si>
  <si>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</si>
  <si>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</si>
  <si>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</si>
  <si>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</si>
  <si>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</si>
  <si>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</si>
  <si>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</si>
  <si>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</si>
  <si>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</si>
  <si>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</si>
  <si>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</si>
  <si>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</si>
  <si>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</si>
  <si>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</si>
  <si>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</si>
  <si>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</si>
  <si>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</si>
  <si>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</si>
  <si>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</si>
  <si>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</si>
  <si>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</si>
  <si>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</si>
  <si>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</si>
  <si>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</si>
  <si>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</si>
  <si>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</si>
  <si>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</si>
  <si>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</si>
  <si>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</si>
  <si>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</si>
  <si>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</si>
  <si>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</si>
  <si>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</si>
  <si>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</si>
  <si>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</si>
  <si>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</si>
  <si>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</si>
  <si>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</si>
  <si>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</si>
  <si>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</si>
  <si>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</si>
  <si>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</si>
  <si>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</si>
  <si>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</si>
  <si>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</si>
  <si>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</si>
  <si>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</si>
  <si>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</si>
  <si>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</si>
  <si>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</si>
  <si>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</si>
  <si>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</si>
  <si>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</si>
  <si>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</si>
  <si>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</si>
  <si>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</si>
  <si>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</si>
  <si>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</si>
  <si>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</si>
  <si>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</si>
  <si>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</si>
  <si>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</si>
  <si>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</si>
  <si>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</si>
  <si>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</si>
  <si>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</si>
  <si>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</si>
  <si>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</si>
  <si>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</si>
  <si>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</si>
  <si>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</si>
  <si>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</si>
  <si>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</si>
  <si>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</si>
  <si>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</si>
  <si>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</si>
  <si>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</si>
  <si>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</si>
  <si>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</si>
  <si>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</si>
  <si>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</si>
  <si>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</si>
  <si>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</si>
  <si>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</si>
  <si>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</si>
  <si>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</si>
  <si>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</si>
  <si>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</si>
  <si>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</si>
  <si>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</si>
  <si>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</si>
  <si>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</si>
  <si>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</si>
  <si>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</si>
  <si>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</si>
  <si>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</si>
  <si>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</si>
  <si>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</si>
  <si>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</si>
  <si>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</si>
  <si>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</si>
  <si>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</si>
  <si>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</si>
  <si>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</si>
  <si>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</si>
  <si>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</si>
  <si>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</si>
  <si>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</si>
  <si>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</si>
  <si>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</si>
  <si>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</si>
  <si>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</si>
  <si>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</si>
  <si>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</si>
  <si>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</si>
  <si>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</si>
  <si>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</si>
  <si>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</si>
  <si>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</si>
  <si>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</si>
  <si>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</si>
  <si>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</si>
  <si>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</si>
  <si>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</si>
  <si>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</si>
  <si>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</si>
  <si>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</si>
  <si>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</si>
  <si>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</si>
  <si>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</si>
  <si>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</si>
  <si>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</si>
  <si>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</si>
  <si>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</si>
  <si>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</si>
  <si>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</si>
  <si>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</si>
  <si>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</si>
  <si>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</si>
  <si>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</si>
  <si>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</si>
  <si>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</si>
  <si>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</si>
  <si>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</si>
  <si>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</si>
  <si>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</si>
  <si>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</si>
  <si>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</si>
  <si>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</si>
  <si>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</si>
  <si>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</si>
  <si>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</si>
  <si>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</si>
  <si>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</si>
  <si>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</si>
  <si>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</si>
  <si>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</si>
  <si>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</si>
  <si>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</si>
  <si>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</si>
  <si>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</si>
  <si>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</si>
  <si>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</si>
  <si>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</si>
  <si>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</si>
  <si>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</si>
  <si>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</si>
  <si>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</si>
  <si>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</si>
  <si>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</si>
  <si>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</si>
  <si>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</si>
  <si>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</si>
  <si>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</si>
  <si>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</si>
  <si>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</si>
  <si>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</si>
  <si>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</si>
  <si>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</si>
  <si>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</si>
  <si>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</si>
  <si>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</si>
  <si>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</si>
  <si>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</si>
  <si>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</si>
  <si>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</si>
  <si>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</si>
  <si>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</si>
  <si>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</si>
  <si>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</si>
  <si>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</si>
  <si>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</si>
  <si>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</si>
  <si>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</si>
  <si>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</si>
  <si>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</si>
  <si>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</si>
  <si>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</si>
  <si>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</si>
  <si>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</si>
  <si>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</si>
  <si>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</si>
  <si>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</si>
  <si>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</si>
  <si>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</si>
  <si>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</si>
  <si>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</si>
  <si>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</si>
  <si>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</si>
  <si>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</si>
  <si>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</si>
  <si>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</si>
  <si>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</si>
  <si>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</si>
  <si>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</si>
  <si>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</si>
  <si>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</si>
  <si>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</si>
  <si>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</si>
  <si>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</si>
  <si>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</si>
  <si>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</si>
  <si>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</si>
  <si>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</si>
  <si>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</si>
  <si>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</si>
  <si>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</si>
  <si>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</si>
  <si>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</si>
  <si>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</si>
  <si>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</si>
  <si>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</si>
  <si>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</si>
  <si>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</si>
  <si>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</si>
  <si>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</si>
  <si>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</si>
  <si>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</si>
  <si>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</si>
  <si>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</si>
  <si>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</si>
  <si>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</si>
  <si>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</si>
  <si>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</si>
  <si>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</si>
  <si>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</si>
  <si>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</si>
  <si>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</si>
  <si>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</si>
  <si>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</si>
  <si>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</si>
  <si>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</si>
  <si>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</si>
  <si>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</si>
  <si>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</si>
  <si>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</si>
  <si>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</si>
  <si>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</si>
  <si>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</si>
  <si>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</si>
  <si>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</si>
  <si>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</si>
  <si>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</si>
  <si>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</si>
  <si>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</si>
  <si>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</si>
  <si>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</si>
  <si>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</si>
  <si>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</si>
  <si>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</si>
  <si>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</si>
  <si>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</si>
  <si>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</si>
  <si>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</si>
  <si>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</si>
  <si>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</si>
  <si>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</si>
  <si>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</si>
  <si>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</si>
  <si>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</si>
  <si>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</si>
  <si>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</si>
  <si>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</si>
  <si>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</si>
  <si>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</si>
  <si>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</si>
  <si>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</si>
  <si>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</si>
  <si>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</si>
  <si>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</si>
  <si>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</si>
  <si>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</si>
  <si>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</si>
  <si>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</si>
  <si>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</si>
  <si>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</si>
  <si>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</si>
  <si>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</si>
  <si>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</si>
  <si>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</si>
  <si>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</si>
  <si>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</si>
  <si>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</si>
  <si>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</si>
  <si>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</si>
  <si>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</si>
  <si>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</si>
  <si>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</si>
  <si>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</si>
  <si>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</si>
  <si>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</si>
  <si>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</si>
  <si>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</si>
  <si>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</si>
  <si>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</si>
  <si>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</si>
  <si>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</si>
  <si>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</si>
  <si>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</si>
  <si>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</si>
  <si>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</si>
  <si>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</si>
  <si>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</si>
  <si>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</si>
  <si>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</si>
  <si>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</si>
  <si>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</si>
  <si>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</si>
  <si>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</si>
  <si>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</si>
  <si>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</si>
  <si>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</si>
  <si>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</si>
  <si>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</si>
  <si>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</si>
  <si>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</si>
  <si>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</si>
  <si>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</si>
  <si>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</si>
  <si>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</si>
  <si>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</si>
  <si>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</si>
  <si>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</si>
  <si>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</si>
  <si>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</si>
  <si>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</si>
  <si>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</si>
  <si>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</si>
  <si>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</si>
  <si>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</si>
  <si>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</si>
  <si>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</si>
  <si>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</si>
  <si>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</si>
  <si>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</si>
  <si>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</si>
  <si>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</si>
  <si>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</si>
  <si>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</si>
  <si>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</si>
  <si>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</si>
  <si>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</si>
  <si>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</si>
  <si>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</si>
  <si>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</si>
  <si>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</si>
  <si>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</si>
  <si>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</si>
  <si>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</si>
  <si>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</si>
  <si>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</si>
  <si>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</si>
  <si>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</si>
  <si>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</si>
  <si>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</si>
  <si>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</si>
  <si>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</si>
  <si>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</si>
  <si>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</si>
  <si>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</si>
  <si>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</si>
  <si>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</si>
  <si>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</si>
  <si>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</si>
  <si>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</si>
  <si>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</si>
  <si>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</si>
  <si>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</si>
  <si>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</si>
  <si>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</si>
  <si>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</si>
  <si>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</si>
  <si>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</si>
  <si>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</si>
  <si>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</si>
  <si>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</si>
  <si>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</si>
  <si>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</si>
  <si>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</si>
  <si>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</si>
  <si>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</si>
  <si>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</si>
  <si>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</si>
  <si>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</si>
  <si>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</si>
  <si>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</si>
  <si>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</si>
  <si>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</si>
  <si>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</si>
  <si>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</si>
  <si>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</si>
  <si>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</si>
  <si>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</si>
  <si>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</si>
  <si>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</si>
  <si>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</si>
  <si>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</si>
  <si>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</si>
  <si>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</si>
  <si>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</si>
  <si>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</si>
  <si>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</si>
  <si>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</si>
  <si>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</si>
  <si>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</si>
  <si>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</si>
  <si>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</si>
  <si>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</si>
  <si>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</si>
  <si>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</si>
  <si>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</si>
  <si>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</si>
  <si>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</si>
  <si>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</si>
  <si>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</si>
  <si>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</si>
  <si>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</si>
  <si>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</si>
  <si>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</si>
  <si>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</si>
  <si>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</si>
  <si>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</si>
  <si>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</si>
  <si>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</si>
  <si>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</si>
  <si>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</si>
  <si>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</si>
  <si>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</si>
  <si>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</si>
  <si>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</si>
  <si>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</si>
  <si>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</si>
  <si>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</si>
  <si>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</si>
  <si>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</si>
  <si>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</si>
  <si>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</si>
  <si>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</si>
  <si>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</si>
  <si>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</si>
  <si>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</si>
  <si>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</si>
  <si>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</si>
  <si>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</si>
  <si>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</si>
  <si>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</si>
  <si>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</si>
  <si>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</si>
  <si>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</si>
  <si>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</si>
  <si>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</si>
  <si>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</si>
  <si>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</si>
  <si>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</si>
  <si>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</si>
  <si>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</si>
  <si>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</si>
  <si>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</si>
  <si>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</si>
  <si>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</si>
  <si>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</si>
  <si>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</si>
  <si>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</si>
  <si>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</si>
  <si>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</si>
  <si>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</si>
  <si>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</si>
  <si>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</si>
  <si>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</si>
  <si>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</si>
  <si>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</si>
  <si>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</si>
  <si>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</si>
  <si>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</si>
  <si>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</si>
  <si>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</si>
  <si>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</si>
  <si>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</si>
  <si>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</si>
  <si>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</si>
  <si>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</si>
  <si>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</si>
  <si>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</si>
  <si>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</si>
  <si>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</si>
  <si>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</si>
  <si>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</si>
  <si>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</si>
  <si>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</si>
  <si>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</si>
  <si>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</si>
  <si>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</si>
  <si>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</si>
  <si>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</si>
  <si>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</si>
  <si>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</si>
  <si>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</si>
  <si>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</si>
  <si>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</si>
  <si>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</si>
  <si>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</si>
  <si>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</si>
  <si>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</si>
  <si>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</si>
  <si>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</si>
  <si>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</si>
  <si>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</si>
  <si>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</si>
  <si>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</si>
  <si>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</si>
  <si>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</si>
  <si>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</si>
  <si>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</si>
  <si>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</si>
  <si>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</si>
  <si>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</si>
  <si>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</si>
  <si>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</si>
  <si>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</si>
  <si>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</si>
  <si>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</si>
  <si>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</si>
  <si>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</si>
  <si>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</si>
  <si>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</si>
  <si>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</si>
  <si>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</si>
  <si>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</si>
  <si>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</si>
  <si>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</si>
  <si>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</si>
  <si>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</si>
  <si>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</si>
  <si>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</si>
  <si>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</si>
  <si>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</si>
  <si>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</si>
  <si>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</si>
  <si>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</si>
  <si>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</si>
  <si>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</si>
  <si>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</si>
  <si>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</si>
  <si>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</si>
  <si>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</si>
  <si>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</si>
  <si>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</si>
  <si>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</si>
  <si>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</si>
  <si>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</si>
  <si>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</si>
  <si>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</si>
  <si>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</si>
  <si>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</si>
  <si>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</si>
  <si>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</si>
  <si>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</si>
  <si>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</si>
  <si>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</si>
  <si>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</si>
  <si>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</si>
  <si>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</si>
  <si>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</si>
  <si>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</si>
  <si>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</si>
  <si>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</si>
  <si>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</si>
  <si>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</si>
  <si>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</si>
  <si>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</si>
  <si>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</si>
  <si>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</si>
  <si>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</si>
  <si>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</si>
  <si>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</si>
  <si>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</si>
  <si>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</si>
  <si>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</si>
  <si>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</si>
  <si>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</si>
  <si>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</si>
  <si>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</si>
  <si>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</si>
  <si>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</si>
  <si>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</si>
  <si>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</si>
  <si>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</si>
  <si>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</si>
  <si>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</si>
  <si>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</si>
  <si>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</si>
  <si>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</si>
  <si>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</si>
  <si>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</si>
  <si>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</si>
  <si>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</si>
  <si>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</si>
  <si>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</si>
  <si>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</si>
  <si>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</si>
  <si>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</si>
  <si>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</si>
  <si>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</si>
  <si>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</si>
  <si>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</si>
  <si>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</si>
  <si>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</si>
  <si>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</si>
  <si>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</si>
  <si>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</si>
  <si>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</si>
  <si>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</si>
  <si>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</si>
  <si>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</si>
  <si>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</si>
  <si>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</si>
  <si>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</si>
  <si>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</si>
  <si>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</si>
  <si>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</si>
  <si>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</si>
  <si>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</si>
  <si>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</si>
  <si>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</si>
  <si>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</si>
  <si>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</si>
  <si>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</si>
  <si>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</si>
  <si>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</si>
  <si>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</si>
  <si>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</si>
  <si>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</si>
  <si>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</si>
  <si>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</si>
  <si>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</si>
  <si>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</si>
  <si>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</si>
  <si>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</si>
  <si>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</si>
  <si>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</si>
  <si>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</si>
  <si>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</si>
  <si>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</si>
  <si>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</si>
  <si>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</si>
  <si>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</si>
  <si>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</si>
  <si>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</si>
  <si>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</si>
  <si>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</si>
  <si>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</si>
  <si>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</si>
  <si>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</si>
  <si>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</si>
  <si>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</si>
  <si>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</si>
  <si>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</si>
  <si>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</si>
  <si>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</si>
  <si>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</si>
  <si>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</si>
  <si>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</si>
  <si>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</si>
  <si>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</si>
  <si>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</si>
  <si>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</si>
  <si>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</si>
  <si>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</si>
  <si>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</si>
  <si>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</si>
  <si>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</si>
  <si>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</si>
  <si>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</si>
  <si>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</si>
  <si>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</si>
  <si>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</si>
  <si>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</si>
  <si>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</si>
  <si>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</si>
  <si>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</si>
  <si>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</si>
  <si>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</si>
  <si>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</si>
  <si>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</si>
  <si>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</si>
  <si>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</si>
  <si>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</si>
  <si>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</si>
  <si>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</si>
  <si>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</si>
  <si>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</si>
  <si>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</si>
  <si>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</si>
  <si>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</si>
  <si>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</si>
  <si>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</si>
  <si>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</si>
  <si>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</si>
  <si>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</si>
  <si>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</si>
  <si>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</si>
  <si>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</si>
  <si>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</si>
  <si>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</si>
  <si>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</si>
  <si>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</si>
  <si>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</si>
  <si>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</si>
  <si>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</si>
  <si>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</si>
  <si>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</si>
  <si>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</si>
  <si>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</si>
  <si>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</si>
  <si>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</si>
  <si>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</si>
  <si>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</si>
  <si>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</si>
  <si>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</si>
  <si>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</si>
  <si>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</si>
  <si>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</si>
  <si>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</si>
  <si>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</si>
  <si>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</si>
  <si>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</si>
  <si>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</si>
  <si>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</si>
  <si>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</si>
  <si>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</si>
  <si>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</si>
  <si>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</si>
  <si>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</si>
  <si>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</si>
  <si>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</si>
  <si>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</si>
  <si>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</si>
  <si>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</si>
  <si>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</si>
  <si>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</si>
  <si>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</si>
  <si>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</si>
  <si>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</si>
  <si>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</si>
  <si>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</si>
  <si>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</si>
  <si>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</si>
  <si>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</si>
  <si>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</si>
  <si>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</si>
  <si>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</si>
  <si>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</si>
  <si>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</si>
  <si>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</si>
  <si>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</si>
  <si>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</si>
  <si>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</si>
  <si>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</si>
  <si>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</si>
  <si>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</si>
  <si>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</si>
  <si>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</si>
  <si>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</si>
  <si>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</si>
  <si>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</si>
  <si>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</si>
  <si>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</si>
  <si>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</si>
  <si>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</si>
  <si>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</si>
  <si>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</si>
  <si>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</si>
  <si>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</si>
  <si>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</si>
  <si>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</si>
  <si>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</si>
  <si>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</si>
  <si>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</si>
  <si>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</si>
  <si>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</si>
  <si>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</si>
  <si>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</si>
  <si>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</si>
  <si>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</si>
  <si>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</si>
  <si>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</si>
  <si>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</si>
  <si>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</si>
  <si>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</si>
  <si>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</si>
  <si>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</si>
  <si>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</si>
  <si>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</si>
  <si>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</si>
  <si>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</si>
  <si>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</si>
  <si>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</si>
  <si>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</si>
  <si>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</si>
  <si>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</si>
  <si>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</si>
  <si>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</si>
  <si>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</si>
  <si>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</si>
  <si>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</si>
  <si>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</si>
  <si>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</si>
  <si>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</si>
  <si>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</si>
  <si>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</si>
  <si>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</si>
  <si>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</si>
  <si>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</si>
  <si>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</si>
  <si>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</si>
  <si>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</si>
  <si>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</si>
  <si>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</si>
  <si>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</si>
  <si>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</si>
  <si>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</si>
  <si>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</si>
  <si>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</si>
  <si>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</si>
  <si>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</si>
  <si>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</si>
  <si>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</si>
  <si>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</si>
  <si>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</si>
  <si>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</si>
  <si>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</si>
  <si>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</si>
  <si>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</si>
  <si>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</si>
  <si>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</si>
  <si>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</si>
  <si>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</si>
  <si>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</si>
  <si>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</si>
  <si>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</si>
  <si>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</si>
  <si>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</si>
  <si>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</si>
  <si>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</si>
  <si>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</si>
  <si>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</si>
  <si>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</si>
  <si>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</si>
  <si>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</si>
  <si>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</si>
  <si>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</si>
  <si>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</si>
  <si>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</si>
  <si>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</si>
  <si>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</si>
  <si>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</si>
  <si>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</si>
  <si>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</si>
  <si>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</si>
  <si>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</si>
  <si>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</si>
  <si>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</si>
  <si>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</si>
  <si>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</si>
  <si>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</si>
  <si>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</si>
  <si>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</si>
  <si>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</si>
  <si>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</si>
  <si>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</si>
  <si>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</si>
  <si>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</si>
  <si>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</si>
  <si>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</si>
  <si>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</si>
  <si>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</si>
  <si>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</si>
  <si>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</si>
  <si>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</si>
  <si>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</si>
  <si>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</si>
  <si>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</si>
  <si>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</si>
  <si>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</si>
  <si>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</si>
  <si>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</si>
  <si>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</si>
  <si>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</si>
  <si>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</si>
  <si>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</si>
  <si>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</si>
  <si>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</si>
  <si>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</si>
  <si>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</si>
  <si>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</si>
  <si>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</si>
  <si>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</si>
  <si>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</si>
  <si>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</si>
  <si>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</si>
  <si>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</si>
  <si>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</si>
  <si>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</si>
  <si>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</si>
  <si>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</si>
  <si>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</si>
  <si>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</si>
  <si>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</si>
  <si>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</si>
  <si>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</si>
  <si>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</si>
  <si>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</si>
  <si>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</si>
  <si>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</si>
  <si>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</si>
  <si>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</si>
  <si>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</si>
  <si>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</si>
  <si>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</si>
  <si>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</si>
  <si>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</si>
  <si>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</si>
  <si>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</si>
  <si>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</si>
  <si>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</si>
  <si>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</si>
  <si>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</si>
  <si>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</si>
  <si>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</si>
  <si>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</si>
  <si>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</si>
  <si>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</si>
  <si>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</si>
  <si>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</si>
  <si>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</si>
  <si>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</si>
  <si>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</si>
  <si>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</si>
  <si>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</si>
  <si>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</si>
  <si>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</si>
  <si>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</si>
  <si>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</si>
  <si>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</si>
  <si>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</si>
  <si>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</si>
  <si>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</si>
  <si>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</si>
  <si>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</si>
  <si>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</si>
  <si>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</si>
  <si>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</si>
  <si>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</si>
  <si>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</si>
  <si>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</si>
  <si>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</si>
  <si>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</si>
  <si>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</si>
  <si>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</si>
  <si>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</si>
  <si>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</si>
  <si>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</si>
  <si>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</si>
  <si>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</si>
  <si>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</si>
  <si>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</si>
  <si>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</si>
  <si>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</si>
  <si>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</si>
  <si>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</si>
  <si>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</si>
  <si>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</si>
  <si>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</si>
  <si>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</si>
  <si>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</si>
  <si>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</si>
  <si>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</si>
  <si>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</si>
  <si>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</si>
  <si>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</si>
  <si>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</si>
  <si>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</si>
  <si>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</si>
  <si>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</si>
  <si>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</si>
  <si>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</si>
  <si>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</si>
  <si>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</si>
  <si>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</si>
  <si>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</si>
  <si>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</si>
  <si>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</si>
  <si>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</si>
  <si>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</si>
  <si>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</si>
  <si>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</si>
  <si>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</si>
  <si>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</si>
  <si>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</si>
  <si>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</si>
  <si>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</si>
  <si>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</si>
  <si>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</si>
  <si>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</si>
  <si>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</si>
  <si>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</si>
  <si>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</si>
  <si>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</si>
  <si>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</si>
  <si>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</si>
  <si>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</si>
  <si>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</si>
  <si>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</si>
  <si>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</si>
  <si>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</si>
  <si>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</si>
  <si>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</si>
  <si>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</si>
  <si>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</si>
  <si>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</si>
  <si>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</si>
  <si>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</si>
  <si>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</si>
  <si>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</si>
  <si>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</si>
  <si>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</si>
  <si>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</si>
  <si>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</si>
  <si>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</si>
  <si>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</si>
  <si>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</si>
  <si>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</si>
  <si>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</si>
  <si>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</si>
  <si>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</si>
  <si>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</si>
  <si>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</si>
  <si>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</si>
  <si>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</si>
  <si>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</si>
  <si>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</si>
  <si>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</si>
  <si>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</si>
  <si>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</si>
  <si>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</si>
  <si>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</si>
  <si>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</si>
  <si>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</si>
  <si>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</si>
  <si>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</si>
  <si>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</si>
  <si>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</si>
  <si>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</si>
  <si>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</si>
  <si>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</si>
  <si>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</si>
  <si>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</si>
  <si>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</si>
  <si>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</si>
  <si>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</si>
  <si>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</si>
  <si>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</si>
  <si>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</si>
  <si>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</si>
  <si>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</si>
  <si>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</si>
  <si>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</si>
  <si>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</si>
  <si>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</si>
  <si>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</si>
  <si>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</si>
  <si>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</si>
  <si>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</si>
  <si>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</si>
  <si>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</si>
  <si>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</si>
  <si>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</si>
  <si>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</si>
  <si>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</si>
  <si>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</si>
  <si>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</si>
  <si>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</si>
  <si>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</si>
  <si>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</si>
  <si>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</si>
  <si>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</si>
  <si>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</si>
  <si>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</si>
  <si>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</si>
  <si>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</si>
  <si>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</si>
  <si>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</si>
  <si>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</si>
  <si>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</si>
  <si>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</si>
  <si>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</si>
  <si>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</si>
  <si>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</si>
  <si>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</si>
  <si>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</si>
  <si>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</si>
  <si>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</si>
  <si>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</si>
  <si>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</si>
  <si>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</si>
  <si>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</si>
  <si>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</si>
  <si>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</si>
  <si>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</si>
  <si>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</si>
  <si>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</si>
  <si>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</si>
  <si>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</si>
  <si>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</si>
  <si>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</si>
  <si>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</si>
  <si>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</si>
  <si>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</si>
  <si>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</si>
  <si>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</si>
  <si>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</si>
  <si>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</si>
  <si>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</si>
  <si>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</si>
  <si>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</si>
  <si>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</si>
  <si>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</si>
  <si>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</si>
  <si>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</si>
  <si>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</si>
  <si>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</si>
  <si>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</si>
  <si>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</si>
  <si>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</si>
  <si>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</si>
  <si>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</si>
  <si>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</si>
  <si>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</si>
  <si>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</si>
  <si>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</si>
  <si>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</si>
  <si>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</si>
  <si>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</si>
  <si>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</si>
  <si>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</si>
  <si>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</si>
  <si>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</si>
  <si>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</si>
  <si>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</si>
  <si>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</si>
  <si>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</si>
  <si>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</si>
  <si>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</si>
  <si>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</si>
  <si>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</si>
  <si>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</si>
  <si>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</si>
  <si>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</si>
  <si>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</si>
  <si>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</si>
  <si>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</si>
  <si>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</si>
  <si>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</si>
  <si>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</si>
  <si>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</si>
  <si>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</si>
  <si>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</si>
  <si>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</si>
  <si>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</si>
  <si>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</si>
  <si>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</si>
  <si>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</si>
  <si>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</si>
  <si>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</si>
  <si>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</si>
  <si>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</si>
  <si>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</si>
  <si>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</si>
  <si>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</si>
  <si>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</si>
  <si>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</si>
  <si>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</si>
  <si>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</si>
  <si>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</si>
  <si>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</si>
  <si>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</si>
  <si>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</si>
  <si>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</si>
  <si>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</si>
  <si>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</si>
  <si>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</si>
  <si>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</si>
  <si>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</si>
  <si>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</si>
  <si>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</si>
  <si>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</si>
  <si>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</si>
  <si>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</si>
  <si>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</si>
  <si>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</si>
  <si>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</si>
  <si>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</si>
  <si>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</si>
  <si>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</si>
  <si>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</si>
  <si>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</si>
  <si>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</si>
  <si>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</si>
  <si>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</si>
  <si>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</si>
  <si>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</si>
  <si>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</si>
  <si>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</si>
  <si>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</si>
  <si>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</si>
  <si>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</si>
  <si>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</si>
  <si>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</si>
  <si>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</si>
  <si>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</si>
  <si>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</si>
  <si>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</si>
  <si>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</si>
  <si>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</si>
  <si>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</si>
  <si>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</si>
  <si>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</si>
  <si>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</si>
  <si>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</si>
  <si>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</si>
  <si>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</si>
  <si>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</si>
  <si>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</si>
  <si>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</si>
  <si>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</si>
  <si>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</si>
  <si>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</si>
  <si>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</si>
  <si>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</si>
  <si>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</si>
  <si>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</si>
  <si>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</si>
  <si>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</si>
  <si>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</si>
  <si>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</si>
  <si>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</si>
  <si>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</si>
  <si>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</si>
  <si>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</si>
  <si>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</si>
  <si>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</si>
  <si>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</si>
  <si>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</si>
  <si>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</si>
  <si>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</si>
  <si>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</si>
  <si>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</si>
  <si>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</si>
  <si>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</si>
  <si>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</si>
  <si>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</si>
  <si>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</si>
  <si>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</si>
  <si>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</si>
  <si>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</si>
  <si>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</si>
  <si>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</si>
  <si>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</si>
  <si>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</si>
  <si>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</si>
  <si>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</si>
  <si>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</si>
  <si>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</si>
  <si>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</si>
  <si>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</si>
  <si>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</si>
  <si>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</si>
  <si>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</si>
  <si>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</si>
  <si>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</si>
  <si>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</si>
  <si>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</si>
  <si>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</si>
  <si>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</si>
  <si>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</si>
  <si>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</si>
  <si>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</si>
  <si>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</si>
  <si>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</si>
  <si>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</si>
  <si>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</si>
  <si>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</si>
  <si>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</si>
  <si>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</si>
  <si>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</si>
  <si>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</si>
  <si>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</si>
  <si>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</si>
  <si>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</si>
  <si>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</si>
  <si>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</si>
  <si>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</si>
  <si>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</si>
  <si>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</si>
  <si>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</si>
  <si>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</si>
  <si>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</si>
  <si>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</si>
  <si>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</si>
  <si>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</si>
  <si>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</si>
  <si>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</si>
  <si>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</si>
  <si>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</si>
  <si>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</si>
  <si>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</si>
  <si>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</si>
  <si>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</si>
  <si>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</si>
  <si>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</si>
  <si>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</si>
  <si>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</si>
  <si>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</si>
  <si>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</si>
  <si>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</si>
  <si>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</si>
  <si>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</si>
  <si>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</si>
  <si>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</si>
  <si>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</si>
  <si>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</si>
  <si>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</si>
  <si>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</si>
  <si>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</si>
  <si>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</si>
  <si>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</si>
  <si>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</si>
  <si>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</si>
  <si>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</si>
  <si>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</si>
  <si>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</si>
  <si>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</si>
  <si>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</si>
  <si>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</si>
  <si>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</si>
  <si>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</si>
  <si>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</si>
  <si>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</si>
  <si>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</si>
  <si>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</si>
  <si>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</si>
  <si>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</si>
  <si>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</si>
  <si>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</si>
  <si>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</si>
  <si>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</si>
  <si>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</si>
  <si>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</si>
  <si>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</si>
  <si>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</si>
  <si>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</si>
  <si>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</si>
  <si>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</si>
  <si>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</si>
  <si>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</si>
  <si>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</si>
  <si>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</si>
  <si>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</si>
  <si>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</si>
  <si>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</si>
  <si>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</si>
  <si>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</si>
  <si>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</si>
  <si>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</si>
  <si>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</si>
  <si>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</si>
  <si>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</si>
  <si>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</si>
  <si>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</si>
  <si>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</si>
  <si>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</si>
  <si>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</si>
  <si>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</si>
  <si>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</si>
  <si>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</si>
  <si>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</si>
  <si>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</si>
  <si>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</si>
  <si>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</si>
  <si>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</si>
  <si>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</si>
  <si>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</si>
  <si>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</si>
  <si>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</si>
  <si>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</si>
  <si>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</si>
  <si>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</si>
  <si>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</si>
  <si>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</si>
  <si>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</si>
  <si>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</si>
  <si>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</si>
  <si>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</si>
  <si>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</si>
  <si>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</si>
  <si>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</si>
  <si>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</si>
  <si>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</si>
  <si>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</si>
  <si>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</si>
  <si>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</si>
  <si>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</si>
  <si>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</si>
  <si>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</si>
  <si>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</si>
  <si>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</si>
  <si>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</si>
  <si>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</si>
  <si>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</si>
  <si>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</si>
  <si>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</si>
  <si>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</si>
  <si>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</si>
  <si>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</si>
  <si>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</si>
  <si>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</si>
  <si>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</si>
  <si>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</si>
  <si>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</si>
  <si>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</si>
  <si>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</si>
  <si>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</si>
  <si>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</si>
  <si>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</si>
  <si>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</si>
  <si>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</si>
  <si>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</si>
  <si>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</si>
  <si>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</si>
  <si>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</si>
  <si>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</si>
  <si>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</si>
  <si>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</si>
  <si>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</si>
  <si>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</si>
  <si>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</si>
  <si>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</si>
  <si>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</si>
  <si>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</si>
  <si>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</si>
  <si>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</si>
  <si>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</si>
  <si>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</si>
  <si>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</si>
  <si>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</si>
  <si>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</si>
  <si>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</si>
  <si>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</si>
  <si>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</si>
  <si>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</si>
  <si>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</si>
  <si>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</si>
  <si>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</si>
  <si>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</si>
  <si>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</si>
  <si>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</si>
  <si>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</si>
  <si>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</si>
  <si>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</si>
  <si>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</si>
  <si>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</si>
  <si>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</si>
  <si>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</si>
  <si>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</si>
  <si>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</si>
  <si>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</si>
  <si>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</si>
  <si>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</si>
  <si>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</si>
  <si>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</si>
  <si>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</si>
  <si>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</si>
  <si>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</si>
  <si>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</si>
  <si>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</si>
  <si>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</si>
  <si>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</si>
  <si>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</si>
  <si>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</si>
  <si>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</si>
  <si>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</si>
  <si>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</si>
  <si>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</si>
  <si>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</si>
  <si>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</si>
  <si>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</si>
  <si>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</si>
  <si>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</si>
  <si>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</si>
  <si>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</si>
  <si>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</si>
  <si>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</si>
  <si>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</si>
  <si>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</si>
  <si>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</si>
  <si>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</si>
  <si>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</si>
  <si>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</si>
  <si>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</si>
  <si>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</si>
  <si>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</si>
  <si>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</si>
  <si>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</si>
  <si>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</si>
  <si>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</si>
  <si>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</si>
  <si>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</si>
  <si>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</si>
  <si>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</si>
  <si>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</si>
  <si>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</si>
  <si>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</si>
  <si>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</si>
  <si>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</si>
  <si>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</si>
  <si>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</si>
  <si>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</si>
  <si>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</si>
  <si>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</si>
  <si>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</si>
  <si>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</si>
  <si>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</si>
  <si>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</si>
  <si>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</si>
  <si>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</si>
  <si>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</si>
  <si>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</si>
  <si>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</si>
  <si>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</si>
  <si>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</si>
  <si>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</si>
  <si>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</si>
  <si>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</si>
  <si>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</si>
  <si>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</si>
  <si>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</si>
  <si>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</si>
  <si>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</si>
  <si>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</si>
  <si>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</si>
  <si>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</si>
  <si>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</si>
  <si>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</si>
  <si>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</si>
  <si>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</si>
  <si>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</si>
  <si>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</si>
  <si>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</si>
  <si>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</si>
  <si>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</si>
  <si>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</si>
  <si>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</si>
  <si>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</si>
  <si>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</si>
  <si>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</si>
  <si>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</si>
  <si>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</si>
  <si>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</si>
  <si>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</si>
  <si>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</si>
  <si>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</si>
  <si>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</si>
  <si>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</si>
  <si>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</si>
  <si>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</si>
  <si>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</si>
  <si>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</si>
  <si>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</si>
  <si>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</si>
  <si>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</si>
  <si>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</si>
  <si>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</si>
  <si>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</si>
  <si>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</si>
  <si>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</si>
  <si>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</si>
  <si>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</si>
  <si>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</si>
  <si>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</si>
  <si>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</si>
  <si>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</si>
  <si>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</si>
  <si>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</si>
  <si>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</si>
  <si>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</si>
  <si>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</si>
  <si>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</si>
  <si>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</si>
  <si>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</si>
  <si>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</si>
  <si>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</si>
  <si>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</si>
  <si>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</si>
  <si>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</si>
  <si>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</si>
  <si>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</si>
  <si>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</si>
  <si>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</si>
  <si>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</si>
  <si>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</si>
  <si>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</si>
  <si>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</si>
  <si>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</si>
  <si>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</si>
  <si>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</si>
  <si>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</si>
  <si>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</si>
  <si>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</si>
  <si>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</si>
  <si>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</si>
  <si>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</si>
  <si>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</si>
  <si>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</si>
  <si>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</si>
  <si>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</si>
  <si>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</si>
  <si>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</si>
  <si>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</si>
  <si>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</si>
  <si>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</si>
  <si>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</si>
  <si>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</si>
  <si>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</si>
  <si>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</si>
  <si>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</si>
  <si>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</si>
  <si>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</si>
  <si>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</si>
  <si>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</si>
  <si>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</si>
  <si>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</si>
  <si>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</si>
  <si>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</si>
  <si>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</si>
  <si>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</si>
  <si>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</si>
  <si>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</si>
  <si>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</si>
  <si>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</si>
  <si>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</si>
  <si>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</si>
  <si>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</si>
  <si>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</si>
  <si>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</si>
  <si>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</si>
  <si>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</si>
  <si>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</si>
  <si>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</si>
  <si>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</si>
  <si>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</si>
  <si>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</si>
  <si>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</si>
  <si>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</si>
  <si>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</si>
  <si>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</si>
  <si>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</si>
  <si>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</si>
  <si>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</si>
  <si>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</si>
  <si>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</si>
  <si>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</si>
  <si>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</si>
  <si>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</si>
  <si>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</si>
  <si>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</si>
  <si>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</si>
  <si>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</si>
  <si>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</si>
  <si>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</si>
  <si>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</si>
  <si>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</si>
  <si>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</si>
  <si>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</si>
  <si>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</si>
  <si>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</si>
  <si>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</si>
  <si>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</si>
  <si>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</si>
  <si>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</si>
  <si>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</si>
  <si>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</si>
  <si>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</si>
  <si>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</si>
  <si>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</si>
  <si>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</si>
  <si>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</si>
  <si>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</si>
  <si>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</si>
  <si>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</si>
  <si>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</si>
  <si>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</si>
  <si>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</si>
  <si>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</si>
  <si>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</si>
  <si>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</si>
  <si>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</si>
  <si>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</si>
  <si>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</si>
  <si>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</si>
  <si>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</si>
  <si>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</si>
  <si>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</si>
  <si>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</si>
  <si>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</si>
  <si>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</si>
  <si>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</si>
  <si>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</si>
  <si>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</si>
  <si>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</si>
  <si>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</si>
  <si>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</si>
  <si>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</si>
  <si>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</si>
  <si>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</si>
  <si>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</si>
  <si>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ADMINISTRACION DE BIENES Y RECURSOS</t>
  </si>
  <si>
    <t>CAPACITACION CONTINUA</t>
  </si>
  <si>
    <t>INFORMATICA Y PROGRAMACION</t>
  </si>
  <si>
    <t>PROTECCION CIVIL DE UNIDADES DEPORTIVAS</t>
  </si>
  <si>
    <t>OPERACION DE DEPORTE SELECTIVO</t>
  </si>
  <si>
    <t>BECAS ALTO RENDIMIENTO</t>
  </si>
  <si>
    <t>OLIMPIADA Y PARA OLIMPIADA NACIONAL</t>
  </si>
  <si>
    <t>CIENCIAS APLICADAS AL DEPORTE</t>
  </si>
  <si>
    <t>METODOLOGIA DEL ENTRENAMIENTO DEPORTIVO</t>
  </si>
  <si>
    <t>DIRECCION GENERAL</t>
  </si>
  <si>
    <t>OPERACION DE EVENTOS Y MERCADOTECNIA</t>
  </si>
  <si>
    <t>COMUNICACION SOCIAL</t>
  </si>
  <si>
    <t>ATENCION A EVENTOS DEPORTIVOS</t>
  </si>
  <si>
    <t>MERCADOTECNIA</t>
  </si>
  <si>
    <t>OPERACION DE CULTURA FISICA Y RECREACION</t>
  </si>
  <si>
    <t>CURSO DE VERANO</t>
  </si>
  <si>
    <t>SEMANA DE PASCUA DEPORTIVA</t>
  </si>
  <si>
    <t>DEPORTE PARA PERSONAS CON DISCAPACIDAD</t>
  </si>
  <si>
    <t>ACTIVACION FISICA PARA ADULTOS MAYORES</t>
  </si>
  <si>
    <t>ACTIVACION FISICA EN MINIDEPORTIVAS</t>
  </si>
  <si>
    <t>ESCUELA DE INICIO AL DEPORTE EFM</t>
  </si>
  <si>
    <t>ESCUELA DE INICIO AL DEPORTE LIR</t>
  </si>
  <si>
    <t>ESCUELA DE INICIO AL DEPORTE ATC</t>
  </si>
  <si>
    <t>ESCUELA DE INICIO AL DEPORTE JRG</t>
  </si>
  <si>
    <t>ESCUELAS DE INICIO AL DEPORTE PA</t>
  </si>
  <si>
    <t>ESCUELAS DE INICIO AL DEPORTE CHAPALITA</t>
  </si>
  <si>
    <t>ESCUELAS DE INICIO AL DEPORTE NUEVO MILE</t>
  </si>
  <si>
    <t>ESCUELAS DE INICIO PARQUE HILAMAS</t>
  </si>
  <si>
    <t>ACTIVACION FISICA ESCOLAR</t>
  </si>
  <si>
    <t>ACTIVACION FISICA LABORAL</t>
  </si>
  <si>
    <t>OPERACION DE INFRAESTRUCTURA</t>
  </si>
  <si>
    <t>MANTENIMIENTO AUXILIAR DE ESPACIOS DEPOR</t>
  </si>
  <si>
    <t>OPERACION UD ANTONIO TOTA CARBAJAL</t>
  </si>
  <si>
    <t>OPERACION UD ENRIQUE FERNANDEZ MARTINEZ</t>
  </si>
  <si>
    <t>OPERACION UD LUIS I. RODRIGUEZ</t>
  </si>
  <si>
    <t>OPERACION UD CHAPALITA</t>
  </si>
  <si>
    <t>OPERACION UD PARQUE DEL ARBOL</t>
  </si>
  <si>
    <t>OPERACION UD JESUS RODRIGUEZ GAONA</t>
  </si>
  <si>
    <t>OPERACION UD NUEVO MILENIO</t>
  </si>
  <si>
    <t>OPERACION UD PARQUE HILAMAS</t>
  </si>
  <si>
    <t>DIRECCION DE CONTROL</t>
  </si>
  <si>
    <t>COMISION MUNICIPAL DE CULTURA FISICA Y DEPORTE DE LEON GUANAJUATO</t>
  </si>
  <si>
    <t>APOYO EN ALCANCE A POLITICAS PUBLICAS AB</t>
  </si>
  <si>
    <t>APOYO EN ALCANCE A POLITICAS PUBLICAS BR</t>
  </si>
  <si>
    <t>APOYO EN ALCANCE A POLITICAS PUBLICAS VI</t>
  </si>
  <si>
    <t>SISTEMA DE COMPETENCIAS DEPORTIVAS</t>
  </si>
  <si>
    <t>CECAMUDE</t>
  </si>
  <si>
    <t>COLOQUIO INTERNACIONAL DE DEPORTE MUNICI</t>
  </si>
  <si>
    <t>MARATON LEON CODE</t>
  </si>
  <si>
    <t>MARATON LEON GUIAR MPIO LEON</t>
  </si>
  <si>
    <t>MASIFICACION DE LA ACTIVACION FISICA</t>
  </si>
  <si>
    <t>FUTBOL F5WC</t>
  </si>
  <si>
    <t>REHABILIATCION DE MINIDEPORTIVAS</t>
  </si>
  <si>
    <t>PLANCHAS PARA EJERCITADORES</t>
  </si>
  <si>
    <t>Al 31 de diciembre de 2017 y al 31 de diciembre de 2018 (b)</t>
  </si>
  <si>
    <t>Del 1 de enero al 31 de diciembre de 2018 (b)</t>
  </si>
  <si>
    <t>MARATON LEON 2018</t>
  </si>
  <si>
    <t>REHABILITACION DE BAÑOS EFM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</si>
</sst>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4" fontId="15" fillId="0" borderId="0" xfId="0" applyNumberFormat="1" applyFont="1"/>
    <xf numFmtId="4" fontId="15" fillId="0" borderId="0" xfId="0" applyNumberFormat="1" applyFont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26" t="s">
        <v>821</v>
      </c>
      <c r="B1" s="127"/>
      <c r="C1" s="127"/>
      <c r="D1" s="127"/>
      <c r="E1" s="128"/>
    </row>
    <row r="2" spans="1:5" x14ac:dyDescent="0.25">
      <c r="A2" s="19"/>
      <c r="E2" s="20"/>
    </row>
    <row r="3" spans="1:5" ht="26.25" customHeight="1" x14ac:dyDescent="0.25">
      <c r="A3" s="19"/>
      <c r="B3" s="24" t="s">
        <v>784</v>
      </c>
      <c r="C3" s="129" t="s">
        <v>3335</v>
      </c>
      <c r="D3" s="129"/>
      <c r="E3" s="20"/>
    </row>
    <row r="4" spans="1:5" x14ac:dyDescent="0.25">
      <c r="A4" s="19"/>
      <c r="E4" s="20"/>
    </row>
    <row r="5" spans="1:5" ht="26.25" customHeight="1" x14ac:dyDescent="0.25">
      <c r="A5" s="19"/>
      <c r="B5" s="24" t="s">
        <v>787</v>
      </c>
      <c r="E5" s="20"/>
    </row>
    <row r="6" spans="1:5" x14ac:dyDescent="0.25">
      <c r="A6" s="19"/>
      <c r="E6" s="20"/>
    </row>
    <row r="7" spans="1:5" ht="26.25" customHeight="1" x14ac:dyDescent="0.25">
      <c r="A7" s="19"/>
      <c r="B7" s="24" t="s">
        <v>788</v>
      </c>
      <c r="E7" s="20"/>
    </row>
    <row r="8" spans="1:5" x14ac:dyDescent="0.25">
      <c r="A8" s="19"/>
      <c r="E8" s="20"/>
    </row>
    <row r="9" spans="1:5" ht="26.25" customHeight="1" x14ac:dyDescent="0.25">
      <c r="A9" s="19"/>
      <c r="B9" s="24" t="s">
        <v>786</v>
      </c>
      <c r="E9" s="20"/>
    </row>
    <row r="10" spans="1:5" x14ac:dyDescent="0.25">
      <c r="A10" s="19"/>
      <c r="E10" s="20"/>
    </row>
    <row r="11" spans="1:5" ht="26.25" customHeight="1" x14ac:dyDescent="0.25">
      <c r="A11" s="19"/>
      <c r="B11" s="24" t="s">
        <v>785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D23" sqref="D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25">
      <c r="A1" s="139" t="s">
        <v>534</v>
      </c>
      <c r="B1" s="139"/>
      <c r="C1" s="139"/>
      <c r="D1" s="139"/>
      <c r="E1" s="90"/>
      <c r="F1" s="90"/>
      <c r="G1" s="90"/>
      <c r="H1" s="90"/>
      <c r="I1" s="90"/>
      <c r="J1" s="90"/>
      <c r="K1" s="90"/>
    </row>
    <row r="2" spans="1:11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2"/>
    </row>
    <row r="3" spans="1:11" x14ac:dyDescent="0.25">
      <c r="A3" s="133" t="s">
        <v>166</v>
      </c>
      <c r="B3" s="134"/>
      <c r="C3" s="134"/>
      <c r="D3" s="135"/>
    </row>
    <row r="4" spans="1:11" x14ac:dyDescent="0.25">
      <c r="A4" s="133" t="str">
        <f>TRIMESTRE</f>
        <v>Del 1 de enero al 31 de diciembre de 2018 (b)</v>
      </c>
      <c r="B4" s="134"/>
      <c r="C4" s="134"/>
      <c r="D4" s="135"/>
    </row>
    <row r="5" spans="1:11" x14ac:dyDescent="0.25">
      <c r="A5" s="136" t="s">
        <v>118</v>
      </c>
      <c r="B5" s="137"/>
      <c r="C5" s="137"/>
      <c r="D5" s="138"/>
    </row>
    <row r="6" spans="1:11" x14ac:dyDescent="0.25"/>
    <row r="7" spans="1:11" ht="39" customHeight="1" x14ac:dyDescent="0.2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82610246</v>
      </c>
      <c r="C8" s="33">
        <f t="shared" ref="C8:D8" si="0">SUM(C9:C11)</f>
        <v>96913696.819999993</v>
      </c>
      <c r="D8" s="33">
        <f t="shared" si="0"/>
        <v>96913696.819999993</v>
      </c>
    </row>
    <row r="9" spans="1:11" x14ac:dyDescent="0.25">
      <c r="A9" s="45" t="s">
        <v>169</v>
      </c>
      <c r="B9" s="17">
        <v>82610246</v>
      </c>
      <c r="C9" s="17">
        <v>96913696.819999993</v>
      </c>
      <c r="D9" s="17">
        <v>96913696.819999993</v>
      </c>
    </row>
    <row r="10" spans="1:1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x14ac:dyDescent="0.2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82610246.000000015</v>
      </c>
      <c r="C13" s="33">
        <f t="shared" ref="C13:D13" si="2">C14+C15</f>
        <v>97120217.640000015</v>
      </c>
      <c r="D13" s="33">
        <f t="shared" si="2"/>
        <v>85693008.719999969</v>
      </c>
    </row>
    <row r="14" spans="1:11" x14ac:dyDescent="0.25">
      <c r="A14" s="45" t="s">
        <v>172</v>
      </c>
      <c r="B14" s="17">
        <v>82610246.000000015</v>
      </c>
      <c r="C14" s="17">
        <v>97120217.640000015</v>
      </c>
      <c r="D14" s="17">
        <v>85693008.719999969</v>
      </c>
    </row>
    <row r="15" spans="1:11" x14ac:dyDescent="0.25">
      <c r="A15" s="45" t="s">
        <v>173</v>
      </c>
      <c r="B15" s="17">
        <v>0</v>
      </c>
      <c r="C15" s="17">
        <v>0</v>
      </c>
      <c r="D15" s="17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>
        <v>0</v>
      </c>
      <c r="D18" s="17">
        <v>0</v>
      </c>
    </row>
    <row r="19" spans="1:4" x14ac:dyDescent="0.25">
      <c r="A19" s="45" t="s">
        <v>176</v>
      </c>
      <c r="B19" s="98">
        <v>0</v>
      </c>
      <c r="C19" s="17">
        <v>0</v>
      </c>
      <c r="D19" s="96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v>0</v>
      </c>
      <c r="C21" s="33">
        <f t="shared" ref="C21:D21" si="4">C8-C13+C17</f>
        <v>-206520.82000002265</v>
      </c>
      <c r="D21" s="33">
        <f t="shared" si="4"/>
        <v>11220688.100000024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v>0</v>
      </c>
      <c r="C23" s="33">
        <f t="shared" ref="C23:D23" si="5">C21-C11</f>
        <v>-206520.82000002265</v>
      </c>
      <c r="D23" s="33">
        <f t="shared" si="5"/>
        <v>11220688.100000024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-206520.82000002265</v>
      </c>
      <c r="D25" s="33">
        <f>D23-D17</f>
        <v>11220688.100000024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>
        <v>0</v>
      </c>
      <c r="C30" s="50">
        <v>0</v>
      </c>
      <c r="D30" s="50">
        <v>0</v>
      </c>
    </row>
    <row r="31" spans="1:4" x14ac:dyDescent="0.25">
      <c r="A31" s="45" t="s">
        <v>188</v>
      </c>
      <c r="B31" s="50">
        <v>0</v>
      </c>
      <c r="C31" s="50">
        <v>0</v>
      </c>
      <c r="D31" s="50">
        <v>0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-206520.82000002265</v>
      </c>
      <c r="D33" s="51">
        <f t="shared" si="8"/>
        <v>11220688.100000024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>
        <v>0</v>
      </c>
      <c r="C38" s="50">
        <v>0</v>
      </c>
      <c r="D38" s="50">
        <v>0</v>
      </c>
    </row>
    <row r="39" spans="1:4" x14ac:dyDescent="0.25">
      <c r="A39" s="45" t="s">
        <v>193</v>
      </c>
      <c r="B39" s="50">
        <v>0</v>
      </c>
      <c r="C39" s="50">
        <v>0</v>
      </c>
      <c r="D39" s="50">
        <v>0</v>
      </c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>
        <v>0</v>
      </c>
      <c r="C41" s="50">
        <v>0</v>
      </c>
      <c r="D41" s="50">
        <v>0</v>
      </c>
    </row>
    <row r="42" spans="1:4" x14ac:dyDescent="0.25">
      <c r="A42" s="45" t="s">
        <v>196</v>
      </c>
      <c r="B42" s="50">
        <v>0</v>
      </c>
      <c r="C42" s="50">
        <v>0</v>
      </c>
      <c r="D42" s="50">
        <v>0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82610246</v>
      </c>
      <c r="C48" s="102">
        <v>96913696.819999993</v>
      </c>
      <c r="D48" s="102">
        <v>96913696.819999993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6" t="s">
        <v>192</v>
      </c>
      <c r="B50" s="50">
        <v>0</v>
      </c>
      <c r="C50" s="50">
        <v>0</v>
      </c>
      <c r="D50" s="50">
        <v>0</v>
      </c>
    </row>
    <row r="51" spans="1:4" x14ac:dyDescent="0.25">
      <c r="A51" s="106" t="s">
        <v>195</v>
      </c>
      <c r="B51" s="50">
        <v>0</v>
      </c>
      <c r="C51" s="50">
        <v>0</v>
      </c>
      <c r="D51" s="50">
        <v>0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82610246.000000015</v>
      </c>
      <c r="C53" s="50">
        <v>97120217.640000001</v>
      </c>
      <c r="D53" s="50">
        <v>85693008.719999999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3">C18</f>
        <v>0</v>
      </c>
      <c r="D55" s="50">
        <f t="shared" si="13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-1.4901161193847656E-8</v>
      </c>
      <c r="C57" s="51">
        <f>C48+C49-C53+C55</f>
        <v>-206520.82000000775</v>
      </c>
      <c r="D57" s="51">
        <f t="shared" ref="D57" si="14">D48+D49-D53+D55</f>
        <v>11220688.099999994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-1.4901161193847656E-8</v>
      </c>
      <c r="C59" s="51">
        <f t="shared" ref="C59:D59" si="15">C57-C49</f>
        <v>-206520.82000000775</v>
      </c>
      <c r="D59" s="51">
        <f t="shared" si="15"/>
        <v>11220688.099999994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6">C10</f>
        <v>0</v>
      </c>
      <c r="D63" s="101">
        <f t="shared" si="16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7">C65-C66</f>
        <v>0</v>
      </c>
      <c r="D64" s="33">
        <f t="shared" si="17"/>
        <v>0</v>
      </c>
    </row>
    <row r="65" spans="1:4" x14ac:dyDescent="0.25">
      <c r="A65" s="106" t="s">
        <v>193</v>
      </c>
      <c r="B65" s="17">
        <v>0</v>
      </c>
      <c r="C65" s="17">
        <v>0</v>
      </c>
      <c r="D65" s="17">
        <v>0</v>
      </c>
    </row>
    <row r="66" spans="1:4" x14ac:dyDescent="0.25">
      <c r="A66" s="106" t="s">
        <v>196</v>
      </c>
      <c r="B66" s="17">
        <v>0</v>
      </c>
      <c r="C66" s="17">
        <v>0</v>
      </c>
      <c r="D66" s="17">
        <v>0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8">C15</f>
        <v>0</v>
      </c>
      <c r="D68" s="17">
        <f t="shared" si="18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19">C19</f>
        <v>0</v>
      </c>
      <c r="D70" s="17">
        <f t="shared" si="19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0">C63+C64-C68+C70</f>
        <v>0</v>
      </c>
      <c r="D72" s="33">
        <f t="shared" si="20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1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3">
        <f>'Formato 4'!B8</f>
        <v>82610246</v>
      </c>
      <c r="Q2" s="13">
        <f>'Formato 4'!C8</f>
        <v>96913696.819999993</v>
      </c>
      <c r="R2" s="13">
        <f>'Formato 4'!D8</f>
        <v>96913696.819999993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82610246</v>
      </c>
      <c r="Q3" s="13">
        <f>'Formato 4'!C9</f>
        <v>96913696.819999993</v>
      </c>
      <c r="R3" s="13">
        <f>'Formato 4'!D9</f>
        <v>96913696.819999993</v>
      </c>
      <c r="S3" s="13"/>
      <c r="T3" s="13"/>
      <c r="U3" s="13"/>
      <c r="V3" s="13"/>
    </row>
    <row r="4" spans="1:25" x14ac:dyDescent="0.25">
      <c r="A4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x14ac:dyDescent="0.25">
      <c r="A5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x14ac:dyDescent="0.25">
      <c r="A6" t="str">
        <f t="shared" si="0"/>
        <v>4,2,0,0,0,0,0</v>
      </c>
      <c r="B6">
        <v>4</v>
      </c>
      <c r="C6">
        <v>2</v>
      </c>
      <c r="I6" t="s">
        <v>702</v>
      </c>
      <c r="P6" s="13">
        <f>'Formato 4'!B13</f>
        <v>82610246.000000015</v>
      </c>
      <c r="Q6" s="13">
        <f>'Formato 4'!C13</f>
        <v>97120217.640000015</v>
      </c>
      <c r="R6" s="13">
        <f>'Formato 4'!D13</f>
        <v>85693008.719999969</v>
      </c>
      <c r="S6" s="13"/>
      <c r="T6" s="13"/>
      <c r="U6" s="13"/>
      <c r="V6" s="13"/>
      <c r="W6" s="13"/>
      <c r="X6" s="13"/>
      <c r="Y6" s="13"/>
    </row>
    <row r="7" spans="1:25" x14ac:dyDescent="0.25">
      <c r="A7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3">
        <f>'Formato 4'!B14</f>
        <v>82610246.000000015</v>
      </c>
      <c r="Q7" s="13">
        <f>'Formato 4'!C14</f>
        <v>97120217.640000015</v>
      </c>
      <c r="R7" s="13">
        <f>'Formato 4'!D14</f>
        <v>85693008.719999969</v>
      </c>
    </row>
    <row r="8" spans="1:25" x14ac:dyDescent="0.25">
      <c r="A8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x14ac:dyDescent="0.25">
      <c r="A9" t="str">
        <f t="shared" si="0"/>
        <v>4,3,0,0,0,0,0</v>
      </c>
      <c r="B9">
        <v>4</v>
      </c>
      <c r="C9">
        <v>3</v>
      </c>
      <c r="I9" t="s">
        <v>725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3"/>
      <c r="Q10" s="13">
        <f>'Formato 4'!C18</f>
        <v>0</v>
      </c>
      <c r="R10" s="13">
        <f>'Formato 4'!D18</f>
        <v>0</v>
      </c>
    </row>
    <row r="11" spans="1:25" x14ac:dyDescent="0.25">
      <c r="A11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P11" s="13"/>
      <c r="Q11" s="13">
        <f>'Formato 4'!C19</f>
        <v>0</v>
      </c>
      <c r="R11" s="13">
        <f>'Formato 4'!D19</f>
        <v>0</v>
      </c>
    </row>
    <row r="12" spans="1:25" x14ac:dyDescent="0.25">
      <c r="A12" t="str">
        <f t="shared" si="0"/>
        <v>4,4,0,0,0,0,0</v>
      </c>
      <c r="B12">
        <v>4</v>
      </c>
      <c r="C12">
        <v>4</v>
      </c>
      <c r="I12" t="s">
        <v>705</v>
      </c>
      <c r="P12" s="13">
        <f>'Formato 4'!B21</f>
        <v>0</v>
      </c>
      <c r="Q12" s="13">
        <f>'Formato 4'!C21</f>
        <v>-206520.82000002265</v>
      </c>
      <c r="R12" s="13">
        <f>'Formato 4'!D21</f>
        <v>11220688.100000024</v>
      </c>
    </row>
    <row r="13" spans="1:25" x14ac:dyDescent="0.25">
      <c r="A13" t="str">
        <f t="shared" si="0"/>
        <v>4,5,0,0,0,0,0</v>
      </c>
      <c r="B13">
        <v>4</v>
      </c>
      <c r="C13">
        <v>5</v>
      </c>
      <c r="I13" t="s">
        <v>706</v>
      </c>
      <c r="P13" s="13">
        <f>'Formato 4'!B23</f>
        <v>0</v>
      </c>
      <c r="Q13" s="13">
        <f>'Formato 4'!C23</f>
        <v>-206520.82000002265</v>
      </c>
      <c r="R13" s="13">
        <f>'Formato 4'!D23</f>
        <v>11220688.100000024</v>
      </c>
    </row>
    <row r="14" spans="1:25" x14ac:dyDescent="0.25">
      <c r="A14" t="str">
        <f t="shared" si="0"/>
        <v>4,6,0,0,0,0,0</v>
      </c>
      <c r="B14">
        <v>4</v>
      </c>
      <c r="C14">
        <v>6</v>
      </c>
      <c r="I14" t="s">
        <v>707</v>
      </c>
      <c r="P14" s="13">
        <f>'Formato 4'!B25</f>
        <v>0</v>
      </c>
      <c r="Q14" s="13">
        <f>'Formato 4'!C25</f>
        <v>-206520.82000002265</v>
      </c>
      <c r="R14" s="13">
        <f>'Formato 4'!D25</f>
        <v>11220688.100000024</v>
      </c>
    </row>
    <row r="15" spans="1:25" x14ac:dyDescent="0.25">
      <c r="A15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-206520.82000002265</v>
      </c>
      <c r="R18">
        <f>'Formato 4'!D33</f>
        <v>11220688.100000024</v>
      </c>
    </row>
    <row r="19" spans="1:18" x14ac:dyDescent="0.25">
      <c r="A19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82610246</v>
      </c>
      <c r="Q26">
        <f>'Formato 4'!C48</f>
        <v>96913696.819999993</v>
      </c>
      <c r="R26">
        <f>'Formato 4'!D48</f>
        <v>96913696.819999993</v>
      </c>
    </row>
    <row r="27" spans="1:18" x14ac:dyDescent="0.25">
      <c r="A27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82610246.000000015</v>
      </c>
      <c r="Q30">
        <f>'Formato 4'!C53</f>
        <v>97120217.640000001</v>
      </c>
      <c r="R30">
        <f>'Formato 4'!D53</f>
        <v>85693008.719999999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zoomScale="85" zoomScaleNormal="85" workbookViewId="0">
      <selection activeCell="A25" sqref="A25:A2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5" t="s">
        <v>206</v>
      </c>
      <c r="B1" s="145"/>
      <c r="C1" s="145"/>
      <c r="D1" s="145"/>
      <c r="E1" s="145"/>
      <c r="F1" s="145"/>
      <c r="G1" s="145"/>
    </row>
    <row r="2" spans="1:8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1"/>
      <c r="G2" s="132"/>
    </row>
    <row r="3" spans="1:8" x14ac:dyDescent="0.25">
      <c r="A3" s="133" t="s">
        <v>207</v>
      </c>
      <c r="B3" s="134"/>
      <c r="C3" s="134"/>
      <c r="D3" s="134"/>
      <c r="E3" s="134"/>
      <c r="F3" s="134"/>
      <c r="G3" s="135"/>
    </row>
    <row r="4" spans="1:8" x14ac:dyDescent="0.25">
      <c r="A4" s="133" t="str">
        <f>TRIMESTRE</f>
        <v>Del 1 de enero al 31 de diciembre de 2018 (b)</v>
      </c>
      <c r="B4" s="134"/>
      <c r="C4" s="134"/>
      <c r="D4" s="134"/>
      <c r="E4" s="134"/>
      <c r="F4" s="134"/>
      <c r="G4" s="135"/>
    </row>
    <row r="5" spans="1:8" x14ac:dyDescent="0.25">
      <c r="A5" s="136" t="s">
        <v>118</v>
      </c>
      <c r="B5" s="137"/>
      <c r="C5" s="137"/>
      <c r="D5" s="137"/>
      <c r="E5" s="137"/>
      <c r="F5" s="137"/>
      <c r="G5" s="138"/>
    </row>
    <row r="6" spans="1:8" x14ac:dyDescent="0.25">
      <c r="A6" s="142" t="s">
        <v>214</v>
      </c>
      <c r="B6" s="144" t="s">
        <v>208</v>
      </c>
      <c r="C6" s="144"/>
      <c r="D6" s="144"/>
      <c r="E6" s="144"/>
      <c r="F6" s="144"/>
      <c r="G6" s="144" t="s">
        <v>209</v>
      </c>
    </row>
    <row r="7" spans="1:8" ht="30" x14ac:dyDescent="0.25">
      <c r="A7" s="143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4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/>
      <c r="C9" s="50"/>
      <c r="D9" s="50"/>
      <c r="E9" s="50"/>
      <c r="F9" s="50"/>
      <c r="G9" s="50"/>
      <c r="H9" s="6"/>
    </row>
    <row r="10" spans="1:8" x14ac:dyDescent="0.25">
      <c r="A10" s="45" t="s">
        <v>217</v>
      </c>
      <c r="B10" s="50"/>
      <c r="C10" s="50"/>
      <c r="D10" s="50"/>
      <c r="E10" s="50"/>
      <c r="F10" s="50"/>
      <c r="G10" s="50"/>
    </row>
    <row r="11" spans="1:8" x14ac:dyDescent="0.25">
      <c r="A11" s="45" t="s">
        <v>218</v>
      </c>
      <c r="B11" s="50"/>
      <c r="C11" s="50"/>
      <c r="D11" s="50"/>
      <c r="E11" s="50"/>
      <c r="F11" s="50"/>
      <c r="G11" s="50"/>
    </row>
    <row r="12" spans="1:8" x14ac:dyDescent="0.25">
      <c r="A12" s="45" t="s">
        <v>219</v>
      </c>
      <c r="B12" s="50"/>
      <c r="C12" s="50"/>
      <c r="D12" s="50"/>
      <c r="E12" s="50"/>
      <c r="F12" s="50"/>
      <c r="G12" s="50"/>
    </row>
    <row r="13" spans="1:8" x14ac:dyDescent="0.25">
      <c r="A13" s="45" t="s">
        <v>220</v>
      </c>
      <c r="B13" s="50">
        <v>917799.23</v>
      </c>
      <c r="C13" s="50">
        <v>300000</v>
      </c>
      <c r="D13" s="50">
        <v>1317799.23</v>
      </c>
      <c r="E13" s="50">
        <v>634826.13</v>
      </c>
      <c r="F13" s="50">
        <v>634826.13</v>
      </c>
      <c r="G13" s="50">
        <v>-595618.1</v>
      </c>
    </row>
    <row r="14" spans="1:8" x14ac:dyDescent="0.25">
      <c r="A14" s="45" t="s">
        <v>221</v>
      </c>
      <c r="B14" s="50"/>
      <c r="C14" s="50"/>
      <c r="D14" s="50"/>
      <c r="E14" s="50">
        <v>241674.81</v>
      </c>
      <c r="F14" s="50">
        <v>241674.81</v>
      </c>
      <c r="G14" s="50">
        <v>103428.26</v>
      </c>
    </row>
    <row r="15" spans="1:8" x14ac:dyDescent="0.25">
      <c r="A15" s="45" t="s">
        <v>222</v>
      </c>
      <c r="B15" s="50">
        <v>61161947.799999997</v>
      </c>
      <c r="C15" s="50">
        <v>2882569.8400000036</v>
      </c>
      <c r="D15" s="50">
        <v>64044517.640000001</v>
      </c>
      <c r="E15" s="50">
        <v>55452341.039999999</v>
      </c>
      <c r="F15" s="50">
        <v>55452341.039999999</v>
      </c>
      <c r="G15" s="50">
        <v>-35836841.810000002</v>
      </c>
    </row>
    <row r="16" spans="1:8" x14ac:dyDescent="0.25">
      <c r="A16" s="8" t="s">
        <v>275</v>
      </c>
      <c r="B16" s="50">
        <f>B17</f>
        <v>2785492.13</v>
      </c>
      <c r="C16" s="50">
        <f t="shared" ref="C16" si="0">C17</f>
        <v>0</v>
      </c>
      <c r="D16" s="50">
        <v>2785492.13</v>
      </c>
      <c r="E16" s="50">
        <v>1019848</v>
      </c>
      <c r="F16" s="50">
        <v>1019848</v>
      </c>
      <c r="G16" s="50">
        <v>-2249348.13</v>
      </c>
    </row>
    <row r="17" spans="1:7" x14ac:dyDescent="0.25">
      <c r="A17" s="53" t="s">
        <v>223</v>
      </c>
      <c r="B17" s="50">
        <v>2785492.13</v>
      </c>
      <c r="C17" s="50">
        <v>0</v>
      </c>
      <c r="D17" s="50">
        <v>2785492.13</v>
      </c>
      <c r="E17" s="50">
        <v>1019848</v>
      </c>
      <c r="F17" s="50">
        <v>1019848</v>
      </c>
      <c r="G17" s="50">
        <v>-2249348.13</v>
      </c>
    </row>
    <row r="18" spans="1:7" x14ac:dyDescent="0.2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/>
      <c r="C28" s="50"/>
      <c r="D28" s="50"/>
      <c r="E28" s="50"/>
      <c r="F28" s="50"/>
      <c r="G28" s="50"/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50"/>
      <c r="C34" s="50"/>
      <c r="D34" s="50"/>
      <c r="E34" s="50"/>
      <c r="F34" s="50"/>
      <c r="G34" s="50"/>
    </row>
    <row r="35" spans="1:8" x14ac:dyDescent="0.25">
      <c r="A35" s="45" t="s">
        <v>241</v>
      </c>
      <c r="B35" s="50">
        <f>B36</f>
        <v>17745006.84</v>
      </c>
      <c r="C35" s="50">
        <f t="shared" ref="C35:G35" si="1">C36</f>
        <v>21820000.16</v>
      </c>
      <c r="D35" s="50">
        <f t="shared" si="1"/>
        <v>39565007</v>
      </c>
      <c r="E35" s="50">
        <f t="shared" si="1"/>
        <v>39565006.840000004</v>
      </c>
      <c r="F35" s="50">
        <f t="shared" si="1"/>
        <v>39565006.840000004</v>
      </c>
      <c r="G35" s="50">
        <f t="shared" si="1"/>
        <v>-9992503.4199999981</v>
      </c>
    </row>
    <row r="36" spans="1:8" x14ac:dyDescent="0.25">
      <c r="A36" s="53" t="s">
        <v>242</v>
      </c>
      <c r="B36" s="50">
        <v>17745006.84</v>
      </c>
      <c r="C36" s="50">
        <v>21820000.16</v>
      </c>
      <c r="D36" s="50">
        <v>39565007</v>
      </c>
      <c r="E36" s="50">
        <v>39565006.840000004</v>
      </c>
      <c r="F36" s="50">
        <v>39565006.840000004</v>
      </c>
      <c r="G36" s="50">
        <v>-9992503.4199999981</v>
      </c>
    </row>
    <row r="37" spans="1:8" x14ac:dyDescent="0.25">
      <c r="A37" s="45" t="s">
        <v>243</v>
      </c>
      <c r="B37" s="50"/>
      <c r="C37" s="50"/>
      <c r="D37" s="50"/>
      <c r="E37" s="50"/>
      <c r="F37" s="50"/>
      <c r="G37" s="50"/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82610246</v>
      </c>
      <c r="C41" s="51">
        <f t="shared" ref="C41:E41" si="2">SUM(C9,C10,C11,C12,C13,C14,C15,C16,C28,C34,C35,C37)</f>
        <v>25002570.000000004</v>
      </c>
      <c r="D41" s="51">
        <f t="shared" si="2"/>
        <v>107712816</v>
      </c>
      <c r="E41" s="51">
        <f t="shared" si="2"/>
        <v>96913696.819999993</v>
      </c>
      <c r="F41" s="51">
        <f>SUM(F9,F10,F11,F12,F13,F14,F15,F16,F28,F34,F35,F37)</f>
        <v>96913696.819999993</v>
      </c>
      <c r="G41" s="51">
        <f>SUM(G9,G10,G11,G12,G13,G14,G15,G16,G28,G34,G35,G37)</f>
        <v>-48570883.200000003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/>
      <c r="C45" s="50"/>
      <c r="D45" s="50"/>
      <c r="E45" s="50"/>
      <c r="F45" s="50"/>
      <c r="G45" s="50"/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/>
      <c r="C54" s="50"/>
      <c r="D54" s="50"/>
      <c r="E54" s="50"/>
      <c r="F54" s="50"/>
      <c r="G54" s="50"/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/>
      <c r="C59" s="50"/>
      <c r="D59" s="50"/>
      <c r="E59" s="50"/>
      <c r="F59" s="50"/>
      <c r="G59" s="50"/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3">C45+C54+C59+C62+C63</f>
        <v>0</v>
      </c>
      <c r="D65" s="51">
        <f t="shared" si="3"/>
        <v>0</v>
      </c>
      <c r="E65" s="51">
        <f t="shared" si="3"/>
        <v>0</v>
      </c>
      <c r="F65" s="51">
        <f t="shared" si="3"/>
        <v>0</v>
      </c>
      <c r="G65" s="51">
        <f t="shared" si="3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/>
      <c r="C67" s="51"/>
      <c r="D67" s="51"/>
      <c r="E67" s="51"/>
      <c r="F67" s="51"/>
      <c r="G67" s="51"/>
    </row>
    <row r="68" spans="1:7" x14ac:dyDescent="0.25">
      <c r="A68" s="45" t="s">
        <v>269</v>
      </c>
      <c r="B68" s="50"/>
      <c r="C68" s="50"/>
      <c r="D68" s="50"/>
      <c r="E68" s="50"/>
      <c r="F68" s="50"/>
      <c r="G68" s="50"/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82610246</v>
      </c>
      <c r="C70" s="51">
        <f t="shared" ref="C70:G70" si="4">C41+C65+C67</f>
        <v>25002570.000000004</v>
      </c>
      <c r="D70" s="51">
        <f t="shared" si="4"/>
        <v>107712816</v>
      </c>
      <c r="E70" s="51">
        <f t="shared" si="4"/>
        <v>96913696.819999993</v>
      </c>
      <c r="F70" s="51">
        <f t="shared" si="4"/>
        <v>96913696.819999993</v>
      </c>
      <c r="G70" s="51">
        <f t="shared" si="4"/>
        <v>-48570883.200000003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/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9" t="s">
        <v>274</v>
      </c>
      <c r="B75" s="51">
        <f>B73+B74</f>
        <v>0</v>
      </c>
      <c r="C75" s="51">
        <f t="shared" ref="C75:G75" si="5">C73+C74</f>
        <v>0</v>
      </c>
      <c r="D75" s="51">
        <f t="shared" si="5"/>
        <v>0</v>
      </c>
      <c r="E75" s="51">
        <f t="shared" si="5"/>
        <v>0</v>
      </c>
      <c r="F75" s="51">
        <f t="shared" si="5"/>
        <v>0</v>
      </c>
      <c r="G75" s="51">
        <f t="shared" si="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x14ac:dyDescent="0.25">
      <c r="A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x14ac:dyDescent="0.25">
      <c r="A4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x14ac:dyDescent="0.25">
      <c r="A5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x14ac:dyDescent="0.25">
      <c r="A6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x14ac:dyDescent="0.25">
      <c r="A7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3">
        <f>'Formato 5'!B13</f>
        <v>917799.23</v>
      </c>
      <c r="Q7" s="13">
        <f>'Formato 5'!C13</f>
        <v>300000</v>
      </c>
      <c r="R7" s="13">
        <f>'Formato 5'!D13</f>
        <v>1317799.23</v>
      </c>
      <c r="S7" s="13">
        <f>'Formato 5'!E13</f>
        <v>634826.13</v>
      </c>
      <c r="T7" s="13">
        <f>'Formato 5'!F13</f>
        <v>634826.13</v>
      </c>
      <c r="U7" s="13">
        <f>'Formato 5'!G13</f>
        <v>-595618.1</v>
      </c>
    </row>
    <row r="8" spans="1:25" x14ac:dyDescent="0.25">
      <c r="A8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241674.81</v>
      </c>
      <c r="T8" s="13">
        <f>'Formato 5'!F14</f>
        <v>241674.81</v>
      </c>
      <c r="U8" s="13">
        <f>'Formato 5'!G14</f>
        <v>103428.26</v>
      </c>
    </row>
    <row r="9" spans="1:25" x14ac:dyDescent="0.25">
      <c r="A9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3">
        <f>'Formato 5'!B15</f>
        <v>61161947.799999997</v>
      </c>
      <c r="Q9" s="13">
        <f>'Formato 5'!C15</f>
        <v>2882569.8400000036</v>
      </c>
      <c r="R9" s="13">
        <f>'Formato 5'!D15</f>
        <v>64044517.640000001</v>
      </c>
      <c r="S9" s="13">
        <f>'Formato 5'!E15</f>
        <v>55452341.039999999</v>
      </c>
      <c r="T9" s="13">
        <f>'Formato 5'!F15</f>
        <v>55452341.039999999</v>
      </c>
      <c r="U9" s="13">
        <f>'Formato 5'!G15</f>
        <v>-35836841.810000002</v>
      </c>
    </row>
    <row r="10" spans="1:25" x14ac:dyDescent="0.25">
      <c r="A10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3">
        <f>'Formato 5'!B16</f>
        <v>2785492.13</v>
      </c>
      <c r="Q10" s="13">
        <f>'Formato 5'!C16</f>
        <v>0</v>
      </c>
      <c r="R10" s="13">
        <f>'Formato 5'!D16</f>
        <v>2785492.13</v>
      </c>
      <c r="S10" s="13">
        <f>'Formato 5'!E16</f>
        <v>1019848</v>
      </c>
      <c r="T10" s="13">
        <f>'Formato 5'!F16</f>
        <v>1019848</v>
      </c>
      <c r="U10" s="13">
        <f>'Formato 5'!G16</f>
        <v>-2249348.13</v>
      </c>
    </row>
    <row r="11" spans="1:25" x14ac:dyDescent="0.2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P11" s="13">
        <f>'Formato 5'!B17</f>
        <v>2785492.13</v>
      </c>
      <c r="Q11" s="13">
        <f>'Formato 5'!C17</f>
        <v>0</v>
      </c>
      <c r="R11" s="13">
        <f>'Formato 5'!D17</f>
        <v>2785492.13</v>
      </c>
      <c r="S11" s="13">
        <f>'Formato 5'!E17</f>
        <v>1019848</v>
      </c>
      <c r="T11" s="13">
        <f>'Formato 5'!F17</f>
        <v>1019848</v>
      </c>
      <c r="U11" s="13">
        <f>'Formato 5'!G17</f>
        <v>-2249348.13</v>
      </c>
    </row>
    <row r="12" spans="1:25" x14ac:dyDescent="0.2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3">
        <f>'Formato 5'!B35</f>
        <v>17745006.84</v>
      </c>
      <c r="Q29" s="13">
        <f>'Formato 5'!C35</f>
        <v>21820000.16</v>
      </c>
      <c r="R29" s="13">
        <f>'Formato 5'!D35</f>
        <v>39565007</v>
      </c>
      <c r="S29" s="13">
        <f>'Formato 5'!E35</f>
        <v>39565006.840000004</v>
      </c>
      <c r="T29" s="13">
        <f>'Formato 5'!F35</f>
        <v>39565006.840000004</v>
      </c>
      <c r="U29" s="13">
        <f>'Formato 5'!G35</f>
        <v>-9992503.4199999981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3">
        <f>'Formato 5'!B36</f>
        <v>17745006.84</v>
      </c>
      <c r="Q30" s="13">
        <f>'Formato 5'!C36</f>
        <v>21820000.16</v>
      </c>
      <c r="R30" s="13">
        <f>'Formato 5'!D36</f>
        <v>39565007</v>
      </c>
      <c r="S30" s="13">
        <f>'Formato 5'!E36</f>
        <v>39565006.840000004</v>
      </c>
      <c r="T30" s="13">
        <f>'Formato 5'!F36</f>
        <v>39565006.840000004</v>
      </c>
      <c r="U30" s="13">
        <f>'Formato 5'!G36</f>
        <v>-9992503.4199999981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82610246</v>
      </c>
      <c r="Q34">
        <f>'Formato 5'!C41</f>
        <v>25002570.000000004</v>
      </c>
      <c r="R34">
        <f>'Formato 5'!D41</f>
        <v>107712816</v>
      </c>
      <c r="S34">
        <f>'Formato 5'!E41</f>
        <v>96913696.819999993</v>
      </c>
      <c r="T34">
        <f>'Formato 5'!F41</f>
        <v>96913696.819999993</v>
      </c>
      <c r="U34">
        <f>'Formato 5'!G41</f>
        <v>-48570883.200000003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>
    <pageSetUpPr fitToPage="1"/>
  </sheetPr>
  <dimension ref="A1:XFC161"/>
  <sheetViews>
    <sheetView zoomScale="80" zoomScaleNormal="80" zoomScalePageLayoutView="90" workbookViewId="0">
      <selection activeCell="E159" sqref="E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6" t="s">
        <v>3277</v>
      </c>
      <c r="B1" s="145"/>
      <c r="C1" s="145"/>
      <c r="D1" s="145"/>
      <c r="E1" s="145"/>
      <c r="F1" s="145"/>
      <c r="G1" s="145"/>
    </row>
    <row r="2" spans="1:7" x14ac:dyDescent="0.25">
      <c r="A2" s="142" t="str">
        <f>ENTE_PUBLICO_A</f>
        <v>COMISION MUNICIPAL DE CULTURA FISICA Y DEPORTE DE LEON GUANAJUATO, Gobierno del Estado de Guanajuato (a)</v>
      </c>
      <c r="B2" s="142"/>
      <c r="C2" s="142"/>
      <c r="D2" s="142"/>
      <c r="E2" s="142"/>
      <c r="F2" s="142"/>
      <c r="G2" s="142"/>
    </row>
    <row r="3" spans="1:7" x14ac:dyDescent="0.25">
      <c r="A3" s="149" t="s">
        <v>277</v>
      </c>
      <c r="B3" s="149"/>
      <c r="C3" s="149"/>
      <c r="D3" s="149"/>
      <c r="E3" s="149"/>
      <c r="F3" s="149"/>
      <c r="G3" s="149"/>
    </row>
    <row r="4" spans="1:7" x14ac:dyDescent="0.25">
      <c r="A4" s="149" t="s">
        <v>278</v>
      </c>
      <c r="B4" s="149"/>
      <c r="C4" s="149"/>
      <c r="D4" s="149"/>
      <c r="E4" s="149"/>
      <c r="F4" s="149"/>
      <c r="G4" s="149"/>
    </row>
    <row r="5" spans="1:7" x14ac:dyDescent="0.25">
      <c r="A5" s="149" t="str">
        <f>TRIMESTRE</f>
        <v>Del 1 de enero al 31 de diciembre de 2018 (b)</v>
      </c>
      <c r="B5" s="149"/>
      <c r="C5" s="149"/>
      <c r="D5" s="149"/>
      <c r="E5" s="149"/>
      <c r="F5" s="149"/>
      <c r="G5" s="149"/>
    </row>
    <row r="6" spans="1:7" x14ac:dyDescent="0.25">
      <c r="A6" s="143" t="s">
        <v>118</v>
      </c>
      <c r="B6" s="143"/>
      <c r="C6" s="143"/>
      <c r="D6" s="143"/>
      <c r="E6" s="143"/>
      <c r="F6" s="143"/>
      <c r="G6" s="143"/>
    </row>
    <row r="7" spans="1:7" ht="15" customHeight="1" x14ac:dyDescent="0.25">
      <c r="A7" s="147" t="s">
        <v>0</v>
      </c>
      <c r="B7" s="147" t="s">
        <v>279</v>
      </c>
      <c r="C7" s="147"/>
      <c r="D7" s="147"/>
      <c r="E7" s="147"/>
      <c r="F7" s="147"/>
      <c r="G7" s="148" t="s">
        <v>280</v>
      </c>
    </row>
    <row r="8" spans="1:7" ht="30" x14ac:dyDescent="0.25">
      <c r="A8" s="147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7"/>
    </row>
    <row r="9" spans="1:7" x14ac:dyDescent="0.25">
      <c r="A9" s="68" t="s">
        <v>285</v>
      </c>
      <c r="B9" s="65">
        <f>SUM(B10,B18,B28,B38,B48,B58,B62,B71,B75)</f>
        <v>82610246</v>
      </c>
      <c r="C9" s="65">
        <f t="shared" ref="C9:G9" si="0">SUM(C10,C18,C28,C38,C48,C58,C62,C71,C75)</f>
        <v>3297569.9999999991</v>
      </c>
      <c r="D9" s="65">
        <f t="shared" si="0"/>
        <v>85907816</v>
      </c>
      <c r="E9" s="65">
        <f t="shared" si="0"/>
        <v>75446246.090000004</v>
      </c>
      <c r="F9" s="65">
        <f t="shared" si="0"/>
        <v>80441656.169999987</v>
      </c>
      <c r="G9" s="65">
        <f t="shared" si="0"/>
        <v>10461569.91</v>
      </c>
    </row>
    <row r="10" spans="1:7" x14ac:dyDescent="0.25">
      <c r="A10" s="69" t="s">
        <v>286</v>
      </c>
      <c r="B10" s="66">
        <f>SUM(B11:B17)</f>
        <v>53468765</v>
      </c>
      <c r="C10" s="66">
        <f t="shared" ref="C10:F10" si="1">SUM(C11:C17)</f>
        <v>275001.16000000015</v>
      </c>
      <c r="D10" s="66">
        <f t="shared" si="1"/>
        <v>53743766.159999996</v>
      </c>
      <c r="E10" s="66">
        <f t="shared" si="1"/>
        <v>49740588.68</v>
      </c>
      <c r="F10" s="66">
        <f t="shared" si="1"/>
        <v>49707577.079999991</v>
      </c>
      <c r="G10" s="66">
        <f>D10-E10</f>
        <v>4003177.4799999967</v>
      </c>
    </row>
    <row r="11" spans="1:7" x14ac:dyDescent="0.25">
      <c r="A11" s="70" t="s">
        <v>287</v>
      </c>
      <c r="B11" s="66">
        <v>15041842</v>
      </c>
      <c r="C11" s="66">
        <f>D11-B11</f>
        <v>-108433</v>
      </c>
      <c r="D11" s="66">
        <v>14933409</v>
      </c>
      <c r="E11" s="66">
        <v>14329759.050000001</v>
      </c>
      <c r="F11" s="66">
        <v>14329759.050000001</v>
      </c>
      <c r="G11" s="66">
        <f t="shared" ref="G11:G58" si="2">D11-E11</f>
        <v>603649.94999999925</v>
      </c>
    </row>
    <row r="12" spans="1:7" x14ac:dyDescent="0.25">
      <c r="A12" s="70" t="s">
        <v>288</v>
      </c>
      <c r="B12" s="66">
        <v>17705348</v>
      </c>
      <c r="C12" s="66">
        <f t="shared" ref="C12:C17" si="3">D12-B12</f>
        <v>432466.16000000015</v>
      </c>
      <c r="D12" s="66">
        <v>18137814.16</v>
      </c>
      <c r="E12" s="66">
        <v>16779361.27</v>
      </c>
      <c r="F12" s="66">
        <v>16746349.67</v>
      </c>
      <c r="G12" s="66">
        <f t="shared" si="2"/>
        <v>1358452.8900000006</v>
      </c>
    </row>
    <row r="13" spans="1:7" x14ac:dyDescent="0.25">
      <c r="A13" s="70" t="s">
        <v>289</v>
      </c>
      <c r="B13" s="66">
        <v>3655983</v>
      </c>
      <c r="C13" s="66">
        <f t="shared" si="3"/>
        <v>65508</v>
      </c>
      <c r="D13" s="66">
        <v>3721491</v>
      </c>
      <c r="E13" s="66">
        <v>3351822.16</v>
      </c>
      <c r="F13" s="66">
        <v>3351822.16</v>
      </c>
      <c r="G13" s="66">
        <f t="shared" si="2"/>
        <v>369668.83999999985</v>
      </c>
    </row>
    <row r="14" spans="1:7" x14ac:dyDescent="0.25">
      <c r="A14" s="70" t="s">
        <v>290</v>
      </c>
      <c r="B14" s="66">
        <v>5263715</v>
      </c>
      <c r="C14" s="66">
        <f t="shared" si="3"/>
        <v>23203</v>
      </c>
      <c r="D14" s="66">
        <v>5286918</v>
      </c>
      <c r="E14" s="66">
        <v>4907735.41</v>
      </c>
      <c r="F14" s="66">
        <v>4907735.41</v>
      </c>
      <c r="G14" s="66">
        <f t="shared" si="2"/>
        <v>379182.58999999985</v>
      </c>
    </row>
    <row r="15" spans="1:7" x14ac:dyDescent="0.25">
      <c r="A15" s="70" t="s">
        <v>291</v>
      </c>
      <c r="B15" s="66">
        <v>11233277</v>
      </c>
      <c r="C15" s="66">
        <f t="shared" si="3"/>
        <v>-137743</v>
      </c>
      <c r="D15" s="66">
        <v>11095534</v>
      </c>
      <c r="E15" s="66">
        <v>10000634.74</v>
      </c>
      <c r="F15" s="66">
        <v>10000634.74</v>
      </c>
      <c r="G15" s="66">
        <f t="shared" si="2"/>
        <v>1094899.2599999998</v>
      </c>
    </row>
    <row r="16" spans="1:7" x14ac:dyDescent="0.25">
      <c r="A16" s="70" t="s">
        <v>292</v>
      </c>
      <c r="B16" s="66"/>
      <c r="C16" s="66">
        <f t="shared" si="3"/>
        <v>0</v>
      </c>
      <c r="D16" s="66"/>
      <c r="E16" s="66"/>
      <c r="F16" s="66"/>
      <c r="G16" s="66">
        <f t="shared" si="2"/>
        <v>0</v>
      </c>
    </row>
    <row r="17" spans="1:7" x14ac:dyDescent="0.25">
      <c r="A17" s="70" t="s">
        <v>293</v>
      </c>
      <c r="B17" s="66">
        <v>568600</v>
      </c>
      <c r="C17" s="66">
        <f t="shared" si="3"/>
        <v>0</v>
      </c>
      <c r="D17" s="66">
        <v>568600</v>
      </c>
      <c r="E17" s="66">
        <v>371276.05</v>
      </c>
      <c r="F17" s="66">
        <v>371276.05</v>
      </c>
      <c r="G17" s="66">
        <f t="shared" si="2"/>
        <v>197323.95</v>
      </c>
    </row>
    <row r="18" spans="1:7" x14ac:dyDescent="0.25">
      <c r="A18" s="69" t="s">
        <v>294</v>
      </c>
      <c r="B18" s="66">
        <f>SUM(B19:B27)</f>
        <v>7081366.1200000001</v>
      </c>
      <c r="C18" s="66">
        <f t="shared" ref="C18:F18" si="4">SUM(C19:C27)</f>
        <v>1266625.7300000004</v>
      </c>
      <c r="D18" s="66">
        <f t="shared" si="4"/>
        <v>8347991.8500000006</v>
      </c>
      <c r="E18" s="66">
        <f t="shared" si="4"/>
        <v>6574249.04</v>
      </c>
      <c r="F18" s="66">
        <f t="shared" si="4"/>
        <v>4986958.8699999992</v>
      </c>
      <c r="G18" s="66">
        <f t="shared" si="2"/>
        <v>1773742.8100000005</v>
      </c>
    </row>
    <row r="19" spans="1:7" x14ac:dyDescent="0.25">
      <c r="A19" s="70" t="s">
        <v>295</v>
      </c>
      <c r="B19" s="66">
        <v>766463.32</v>
      </c>
      <c r="C19" s="66">
        <f>D19-B19</f>
        <v>-44610.989999999874</v>
      </c>
      <c r="D19" s="66">
        <f>735794.79-13942.46</f>
        <v>721852.33000000007</v>
      </c>
      <c r="E19" s="66">
        <f>439558.94-13923.37</f>
        <v>425635.57</v>
      </c>
      <c r="F19" s="66">
        <f>399497.01-13923.37</f>
        <v>385573.64</v>
      </c>
      <c r="G19" s="66">
        <f t="shared" si="2"/>
        <v>296216.76000000007</v>
      </c>
    </row>
    <row r="20" spans="1:7" x14ac:dyDescent="0.25">
      <c r="A20" s="70" t="s">
        <v>296</v>
      </c>
      <c r="B20" s="66">
        <v>83442.8</v>
      </c>
      <c r="C20" s="66">
        <f t="shared" ref="C20:C27" si="5">D20-B20</f>
        <v>-175.69999999999709</v>
      </c>
      <c r="D20" s="66">
        <v>83267.100000000006</v>
      </c>
      <c r="E20" s="66">
        <v>54971.48</v>
      </c>
      <c r="F20" s="66">
        <v>50765.48</v>
      </c>
      <c r="G20" s="66">
        <f t="shared" si="2"/>
        <v>28295.620000000003</v>
      </c>
    </row>
    <row r="21" spans="1:7" x14ac:dyDescent="0.25">
      <c r="A21" s="70" t="s">
        <v>297</v>
      </c>
      <c r="B21" s="66"/>
      <c r="C21" s="66">
        <f t="shared" si="5"/>
        <v>0</v>
      </c>
      <c r="D21" s="66"/>
      <c r="E21" s="66"/>
      <c r="F21" s="66"/>
      <c r="G21" s="66">
        <f t="shared" si="2"/>
        <v>0</v>
      </c>
    </row>
    <row r="22" spans="1:7" x14ac:dyDescent="0.25">
      <c r="A22" s="70" t="s">
        <v>298</v>
      </c>
      <c r="B22" s="66">
        <v>786965</v>
      </c>
      <c r="C22" s="66">
        <f t="shared" si="5"/>
        <v>6145.8600000001024</v>
      </c>
      <c r="D22" s="66">
        <f>1544250.34-751139.48</f>
        <v>793110.8600000001</v>
      </c>
      <c r="E22" s="66">
        <f>1097126.08-620139.48</f>
        <v>476986.60000000009</v>
      </c>
      <c r="F22" s="66">
        <f>653678.39-620139.48</f>
        <v>33538.910000000033</v>
      </c>
      <c r="G22" s="66">
        <f t="shared" si="2"/>
        <v>316124.26</v>
      </c>
    </row>
    <row r="23" spans="1:7" x14ac:dyDescent="0.25">
      <c r="A23" s="70" t="s">
        <v>299</v>
      </c>
      <c r="B23" s="66">
        <v>1240749</v>
      </c>
      <c r="C23" s="66">
        <f t="shared" si="5"/>
        <v>309511.60999999987</v>
      </c>
      <c r="D23" s="66">
        <f>1583725.13-33464.52</f>
        <v>1550260.6099999999</v>
      </c>
      <c r="E23" s="66">
        <f>1474118.71-33464.52</f>
        <v>1440654.19</v>
      </c>
      <c r="F23" s="66">
        <f>1267550.78-33464.52</f>
        <v>1234086.26</v>
      </c>
      <c r="G23" s="66">
        <f t="shared" si="2"/>
        <v>109606.41999999993</v>
      </c>
    </row>
    <row r="24" spans="1:7" x14ac:dyDescent="0.25">
      <c r="A24" s="70" t="s">
        <v>300</v>
      </c>
      <c r="B24" s="66">
        <v>587122.19999999995</v>
      </c>
      <c r="C24" s="66">
        <f t="shared" si="5"/>
        <v>-43751.559999999939</v>
      </c>
      <c r="D24" s="66">
        <f>565519.48-22148.84</f>
        <v>543370.64</v>
      </c>
      <c r="E24" s="66">
        <f>414562.8-22147.94</f>
        <v>392414.86</v>
      </c>
      <c r="F24" s="66">
        <f>397285.21-22147.94</f>
        <v>375137.27</v>
      </c>
      <c r="G24" s="66">
        <f t="shared" si="2"/>
        <v>150955.78000000003</v>
      </c>
    </row>
    <row r="25" spans="1:7" x14ac:dyDescent="0.25">
      <c r="A25" s="70" t="s">
        <v>301</v>
      </c>
      <c r="B25" s="66">
        <v>3250022</v>
      </c>
      <c r="C25" s="66">
        <f t="shared" si="5"/>
        <v>711476.09000000032</v>
      </c>
      <c r="D25" s="66">
        <f>4801525.23-840027.14</f>
        <v>3961498.0900000003</v>
      </c>
      <c r="E25" s="66">
        <f>4075508.1-840018.8</f>
        <v>3235489.3</v>
      </c>
      <c r="F25" s="66">
        <f>3263481.93-840018.8</f>
        <v>2423463.13</v>
      </c>
      <c r="G25" s="66">
        <f t="shared" si="2"/>
        <v>726008.7900000005</v>
      </c>
    </row>
    <row r="26" spans="1:7" x14ac:dyDescent="0.25">
      <c r="A26" s="70" t="s">
        <v>302</v>
      </c>
      <c r="B26" s="66"/>
      <c r="C26" s="66">
        <f t="shared" si="5"/>
        <v>0</v>
      </c>
      <c r="D26" s="66"/>
      <c r="E26" s="66"/>
      <c r="F26" s="66"/>
      <c r="G26" s="66">
        <f t="shared" si="2"/>
        <v>0</v>
      </c>
    </row>
    <row r="27" spans="1:7" x14ac:dyDescent="0.25">
      <c r="A27" s="70" t="s">
        <v>303</v>
      </c>
      <c r="B27" s="66">
        <v>366601.8</v>
      </c>
      <c r="C27" s="66">
        <f t="shared" si="5"/>
        <v>328030.42</v>
      </c>
      <c r="D27" s="66">
        <f>737762.47-43130.25</f>
        <v>694632.22</v>
      </c>
      <c r="E27" s="66">
        <f>591227.28-43130.24</f>
        <v>548097.04</v>
      </c>
      <c r="F27" s="66">
        <f>527524.42-43130.24</f>
        <v>484394.18000000005</v>
      </c>
      <c r="G27" s="66">
        <f t="shared" si="2"/>
        <v>146535.17999999993</v>
      </c>
    </row>
    <row r="28" spans="1:7" x14ac:dyDescent="0.25">
      <c r="A28" s="69" t="s">
        <v>304</v>
      </c>
      <c r="B28" s="66">
        <f>SUM(B29:B37)</f>
        <v>20229908.380000003</v>
      </c>
      <c r="C28" s="66">
        <f t="shared" ref="C28:F28" si="6">SUM(C29:C37)</f>
        <v>-102297.39999999962</v>
      </c>
      <c r="D28" s="66">
        <f t="shared" si="6"/>
        <v>20127610.980000004</v>
      </c>
      <c r="E28" s="66">
        <f t="shared" si="6"/>
        <v>17910856.879999999</v>
      </c>
      <c r="F28" s="66">
        <f t="shared" si="6"/>
        <v>15266924.140000001</v>
      </c>
      <c r="G28" s="66">
        <f t="shared" si="2"/>
        <v>2216754.1000000052</v>
      </c>
    </row>
    <row r="29" spans="1:7" x14ac:dyDescent="0.25">
      <c r="A29" s="70" t="s">
        <v>305</v>
      </c>
      <c r="B29" s="66">
        <v>9948908</v>
      </c>
      <c r="C29" s="66">
        <f>D29-B29</f>
        <v>-2151641.38</v>
      </c>
      <c r="D29" s="66">
        <v>7797266.6200000001</v>
      </c>
      <c r="E29" s="66">
        <v>7177703.1299999999</v>
      </c>
      <c r="F29" s="66">
        <v>6307540.2400000002</v>
      </c>
      <c r="G29" s="66">
        <f t="shared" si="2"/>
        <v>619563.49000000022</v>
      </c>
    </row>
    <row r="30" spans="1:7" x14ac:dyDescent="0.25">
      <c r="A30" s="70" t="s">
        <v>306</v>
      </c>
      <c r="B30" s="66">
        <v>1142688.32</v>
      </c>
      <c r="C30" s="66">
        <f t="shared" ref="C30:C37" si="7">D30-B30</f>
        <v>837681.2</v>
      </c>
      <c r="D30" s="66">
        <f>2025433.2-45063.68</f>
        <v>1980369.52</v>
      </c>
      <c r="E30" s="66">
        <f>1972092.76-45063.68</f>
        <v>1927029.08</v>
      </c>
      <c r="F30" s="66">
        <f>1972092.76-45063.68</f>
        <v>1927029.08</v>
      </c>
      <c r="G30" s="66">
        <f t="shared" si="2"/>
        <v>53340.439999999944</v>
      </c>
    </row>
    <row r="31" spans="1:7" x14ac:dyDescent="0.25">
      <c r="A31" s="70" t="s">
        <v>307</v>
      </c>
      <c r="B31" s="66">
        <v>3737525.18</v>
      </c>
      <c r="C31" s="66">
        <f t="shared" si="7"/>
        <v>1352363.0299999998</v>
      </c>
      <c r="D31" s="66">
        <f>5706487.05-616598.84</f>
        <v>5089888.21</v>
      </c>
      <c r="E31" s="66">
        <f>5303708.52-616598.84</f>
        <v>4687109.68</v>
      </c>
      <c r="F31" s="66">
        <f>4005787.34-616598.84</f>
        <v>3389188.5</v>
      </c>
      <c r="G31" s="66">
        <f t="shared" si="2"/>
        <v>402778.53000000026</v>
      </c>
    </row>
    <row r="32" spans="1:7" x14ac:dyDescent="0.25">
      <c r="A32" s="70" t="s">
        <v>308</v>
      </c>
      <c r="B32" s="66">
        <v>609316.88</v>
      </c>
      <c r="C32" s="66">
        <f t="shared" si="7"/>
        <v>-31897.650000000023</v>
      </c>
      <c r="D32" s="66">
        <f>599996.19-22576.96</f>
        <v>577419.23</v>
      </c>
      <c r="E32" s="66">
        <f>545757.29-22576.96</f>
        <v>523180.33</v>
      </c>
      <c r="F32" s="66">
        <f>491430.89-22576.96</f>
        <v>468853.93</v>
      </c>
      <c r="G32" s="66">
        <f t="shared" si="2"/>
        <v>54238.899999999965</v>
      </c>
    </row>
    <row r="33" spans="1:7" x14ac:dyDescent="0.25">
      <c r="A33" s="70" t="s">
        <v>309</v>
      </c>
      <c r="B33" s="66">
        <v>772792</v>
      </c>
      <c r="C33" s="66">
        <f t="shared" si="7"/>
        <v>-156160.13999999966</v>
      </c>
      <c r="D33" s="66">
        <f>3030292.39-2413660.53</f>
        <v>616631.86000000034</v>
      </c>
      <c r="E33" s="66">
        <f>2777900.99-2413660.53</f>
        <v>364240.46000000043</v>
      </c>
      <c r="F33" s="66">
        <f>2511234.56-2413660.53</f>
        <v>97574.030000000261</v>
      </c>
      <c r="G33" s="66">
        <f t="shared" si="2"/>
        <v>252391.39999999991</v>
      </c>
    </row>
    <row r="34" spans="1:7" x14ac:dyDescent="0.25">
      <c r="A34" s="70" t="s">
        <v>310</v>
      </c>
      <c r="B34" s="66">
        <v>1951465</v>
      </c>
      <c r="C34" s="66">
        <f t="shared" si="7"/>
        <v>185592.66000000015</v>
      </c>
      <c r="D34" s="66">
        <f>2145108.81-8051.15</f>
        <v>2137057.66</v>
      </c>
      <c r="E34" s="66">
        <f>2043885.45-8051.15</f>
        <v>2035834.3</v>
      </c>
      <c r="F34" s="66">
        <f>1922402.92-8051.15</f>
        <v>1914351.77</v>
      </c>
      <c r="G34" s="66">
        <f t="shared" si="2"/>
        <v>101223.3600000001</v>
      </c>
    </row>
    <row r="35" spans="1:7" x14ac:dyDescent="0.25">
      <c r="A35" s="70" t="s">
        <v>311</v>
      </c>
      <c r="B35" s="66">
        <v>629602</v>
      </c>
      <c r="C35" s="66">
        <f t="shared" si="7"/>
        <v>-154356.96000000002</v>
      </c>
      <c r="D35" s="66">
        <v>475245.04</v>
      </c>
      <c r="E35" s="66">
        <v>290182.14</v>
      </c>
      <c r="F35" s="66">
        <v>268589.14</v>
      </c>
      <c r="G35" s="66">
        <f t="shared" si="2"/>
        <v>185062.89999999997</v>
      </c>
    </row>
    <row r="36" spans="1:7" x14ac:dyDescent="0.25">
      <c r="A36" s="70" t="s">
        <v>312</v>
      </c>
      <c r="B36" s="66">
        <v>337080</v>
      </c>
      <c r="C36" s="66">
        <f t="shared" si="7"/>
        <v>-38075.489999999991</v>
      </c>
      <c r="D36" s="66">
        <f>775492.48-476487.97</f>
        <v>299004.51</v>
      </c>
      <c r="E36" s="66">
        <f>540708.18-476487.96</f>
        <v>64220.22000000003</v>
      </c>
      <c r="F36" s="66">
        <f>528927.87-476487.96</f>
        <v>52439.909999999974</v>
      </c>
      <c r="G36" s="66">
        <f t="shared" si="2"/>
        <v>234784.28999999998</v>
      </c>
    </row>
    <row r="37" spans="1:7" x14ac:dyDescent="0.25">
      <c r="A37" s="70" t="s">
        <v>313</v>
      </c>
      <c r="B37" s="66">
        <v>1100531</v>
      </c>
      <c r="C37" s="66">
        <f t="shared" si="7"/>
        <v>54197.330000000075</v>
      </c>
      <c r="D37" s="66">
        <f>1185304.33-30576</f>
        <v>1154728.33</v>
      </c>
      <c r="E37" s="66">
        <f>871933.54-30576</f>
        <v>841357.54</v>
      </c>
      <c r="F37" s="66">
        <f>871933.54-30576</f>
        <v>841357.54</v>
      </c>
      <c r="G37" s="66">
        <f t="shared" si="2"/>
        <v>313370.79000000004</v>
      </c>
    </row>
    <row r="38" spans="1:7" x14ac:dyDescent="0.25">
      <c r="A38" s="69" t="s">
        <v>314</v>
      </c>
      <c r="B38" s="66">
        <f>SUM(B39:B47)</f>
        <v>694429.5</v>
      </c>
      <c r="C38" s="66">
        <f t="shared" ref="C38:F38" si="8">SUM(C39:C47)</f>
        <v>215688.57999999821</v>
      </c>
      <c r="D38" s="66">
        <f t="shared" si="8"/>
        <v>910118.07999999821</v>
      </c>
      <c r="E38" s="66">
        <f t="shared" si="8"/>
        <v>861876.58999999985</v>
      </c>
      <c r="F38" s="66">
        <f t="shared" si="8"/>
        <v>10212733.51</v>
      </c>
      <c r="G38" s="66">
        <f t="shared" si="2"/>
        <v>48241.489999998361</v>
      </c>
    </row>
    <row r="39" spans="1:7" x14ac:dyDescent="0.25">
      <c r="A39" s="70" t="s">
        <v>315</v>
      </c>
      <c r="B39" s="66"/>
      <c r="C39" s="66">
        <v>0</v>
      </c>
      <c r="D39" s="66"/>
      <c r="E39" s="66"/>
      <c r="F39" s="66"/>
      <c r="G39" s="66">
        <f t="shared" si="2"/>
        <v>0</v>
      </c>
    </row>
    <row r="40" spans="1:7" x14ac:dyDescent="0.25">
      <c r="A40" s="70" t="s">
        <v>316</v>
      </c>
      <c r="B40" s="66"/>
      <c r="C40" s="66">
        <v>0</v>
      </c>
      <c r="D40" s="66"/>
      <c r="E40" s="66"/>
      <c r="F40" s="66"/>
      <c r="G40" s="66">
        <f t="shared" si="2"/>
        <v>0</v>
      </c>
    </row>
    <row r="41" spans="1:7" x14ac:dyDescent="0.25">
      <c r="A41" s="70" t="s">
        <v>317</v>
      </c>
      <c r="B41" s="66"/>
      <c r="C41" s="66">
        <v>0</v>
      </c>
      <c r="D41" s="66"/>
      <c r="E41" s="66"/>
      <c r="F41" s="66"/>
      <c r="G41" s="66">
        <f t="shared" si="2"/>
        <v>0</v>
      </c>
    </row>
    <row r="42" spans="1:7" x14ac:dyDescent="0.25">
      <c r="A42" s="70" t="s">
        <v>318</v>
      </c>
      <c r="B42" s="66">
        <v>694429.5</v>
      </c>
      <c r="C42" s="66">
        <f>D42-B42</f>
        <v>215688.57999999821</v>
      </c>
      <c r="D42" s="66">
        <f>17260118.08-16350000</f>
        <v>910118.07999999821</v>
      </c>
      <c r="E42" s="66">
        <f>17211876.59-16350000</f>
        <v>861876.58999999985</v>
      </c>
      <c r="F42" s="66">
        <v>10212733.51</v>
      </c>
      <c r="G42" s="66">
        <f t="shared" si="2"/>
        <v>48241.489999998361</v>
      </c>
    </row>
    <row r="43" spans="1:7" x14ac:dyDescent="0.25">
      <c r="A43" s="70" t="s">
        <v>319</v>
      </c>
      <c r="B43" s="66"/>
      <c r="C43" s="66">
        <v>0</v>
      </c>
      <c r="D43" s="66"/>
      <c r="E43" s="66"/>
      <c r="F43" s="66"/>
      <c r="G43" s="66">
        <f t="shared" si="2"/>
        <v>0</v>
      </c>
    </row>
    <row r="44" spans="1:7" x14ac:dyDescent="0.25">
      <c r="A44" s="70" t="s">
        <v>320</v>
      </c>
      <c r="B44" s="66"/>
      <c r="C44" s="66">
        <v>0</v>
      </c>
      <c r="D44" s="66"/>
      <c r="E44" s="66"/>
      <c r="F44" s="66"/>
      <c r="G44" s="66">
        <f t="shared" si="2"/>
        <v>0</v>
      </c>
    </row>
    <row r="45" spans="1:7" x14ac:dyDescent="0.25">
      <c r="A45" s="70" t="s">
        <v>321</v>
      </c>
      <c r="B45" s="66"/>
      <c r="C45" s="66">
        <v>0</v>
      </c>
      <c r="D45" s="66"/>
      <c r="E45" s="66"/>
      <c r="F45" s="66"/>
      <c r="G45" s="66">
        <f t="shared" si="2"/>
        <v>0</v>
      </c>
    </row>
    <row r="46" spans="1:7" x14ac:dyDescent="0.25">
      <c r="A46" s="70" t="s">
        <v>322</v>
      </c>
      <c r="B46" s="66"/>
      <c r="C46" s="66">
        <v>0</v>
      </c>
      <c r="D46" s="66"/>
      <c r="E46" s="66"/>
      <c r="F46" s="66"/>
      <c r="G46" s="66">
        <f t="shared" si="2"/>
        <v>0</v>
      </c>
    </row>
    <row r="47" spans="1:7" x14ac:dyDescent="0.25">
      <c r="A47" s="70" t="s">
        <v>323</v>
      </c>
      <c r="B47" s="66"/>
      <c r="C47" s="66">
        <v>0</v>
      </c>
      <c r="D47" s="66"/>
      <c r="E47" s="66"/>
      <c r="F47" s="66"/>
      <c r="G47" s="66">
        <f t="shared" si="2"/>
        <v>0</v>
      </c>
    </row>
    <row r="48" spans="1:7" x14ac:dyDescent="0.25">
      <c r="A48" s="69" t="s">
        <v>324</v>
      </c>
      <c r="B48" s="66">
        <f>SUM(B49:B57)</f>
        <v>1135777</v>
      </c>
      <c r="C48" s="66">
        <f t="shared" ref="C48:F48" si="9">SUM(C49:C57)</f>
        <v>1642551.93</v>
      </c>
      <c r="D48" s="66">
        <f t="shared" si="9"/>
        <v>2778328.9299999997</v>
      </c>
      <c r="E48" s="66">
        <f t="shared" si="9"/>
        <v>358674.9</v>
      </c>
      <c r="F48" s="66">
        <f t="shared" si="9"/>
        <v>267462.57</v>
      </c>
      <c r="G48" s="66">
        <f t="shared" si="2"/>
        <v>2419654.0299999998</v>
      </c>
    </row>
    <row r="49" spans="1:7" x14ac:dyDescent="0.25">
      <c r="A49" s="70" t="s">
        <v>325</v>
      </c>
      <c r="B49" s="66">
        <v>76277</v>
      </c>
      <c r="C49" s="66">
        <f>D49-B49</f>
        <v>118452.89000000001</v>
      </c>
      <c r="D49" s="66">
        <f>211522.97-16793.08</f>
        <v>194729.89</v>
      </c>
      <c r="E49" s="66">
        <f>194899.48-16793.08</f>
        <v>178106.40000000002</v>
      </c>
      <c r="F49" s="66">
        <f>153516.72-16793.08</f>
        <v>136723.64000000001</v>
      </c>
      <c r="G49" s="66">
        <f t="shared" si="2"/>
        <v>16623.489999999991</v>
      </c>
    </row>
    <row r="50" spans="1:7" x14ac:dyDescent="0.25">
      <c r="A50" s="70" t="s">
        <v>326</v>
      </c>
      <c r="B50" s="66">
        <v>186500</v>
      </c>
      <c r="C50" s="66">
        <f t="shared" ref="C50:C57" si="10">D50-B50</f>
        <v>55800.900000000023</v>
      </c>
      <c r="D50" s="66">
        <f>291020.9-48720</f>
        <v>242300.90000000002</v>
      </c>
      <c r="E50" s="66">
        <f>175605.11-48720</f>
        <v>126885.10999999999</v>
      </c>
      <c r="F50" s="66">
        <f>120117.1-48720</f>
        <v>71397.100000000006</v>
      </c>
      <c r="G50" s="66">
        <f t="shared" si="2"/>
        <v>115415.79000000004</v>
      </c>
    </row>
    <row r="51" spans="1:7" x14ac:dyDescent="0.25">
      <c r="A51" s="70" t="s">
        <v>327</v>
      </c>
      <c r="B51" s="66"/>
      <c r="C51" s="66">
        <f t="shared" si="10"/>
        <v>23000</v>
      </c>
      <c r="D51" s="66">
        <v>23000</v>
      </c>
      <c r="E51" s="66">
        <v>15003.56</v>
      </c>
      <c r="F51" s="66">
        <v>0</v>
      </c>
      <c r="G51" s="66">
        <f t="shared" si="2"/>
        <v>7996.4400000000005</v>
      </c>
    </row>
    <row r="52" spans="1:7" x14ac:dyDescent="0.25">
      <c r="A52" s="70" t="s">
        <v>328</v>
      </c>
      <c r="B52" s="66"/>
      <c r="C52" s="66">
        <f t="shared" si="10"/>
        <v>0</v>
      </c>
      <c r="D52" s="66"/>
      <c r="E52" s="66"/>
      <c r="F52" s="66"/>
      <c r="G52" s="66">
        <f t="shared" si="2"/>
        <v>0</v>
      </c>
    </row>
    <row r="53" spans="1:7" x14ac:dyDescent="0.25">
      <c r="A53" s="70" t="s">
        <v>329</v>
      </c>
      <c r="B53" s="66"/>
      <c r="C53" s="66">
        <f t="shared" si="10"/>
        <v>0</v>
      </c>
      <c r="D53" s="66"/>
      <c r="E53" s="66"/>
      <c r="F53" s="66"/>
      <c r="G53" s="66">
        <f t="shared" si="2"/>
        <v>0</v>
      </c>
    </row>
    <row r="54" spans="1:7" x14ac:dyDescent="0.25">
      <c r="A54" s="70" t="s">
        <v>330</v>
      </c>
      <c r="B54" s="66">
        <v>48000</v>
      </c>
      <c r="C54" s="66">
        <f t="shared" si="10"/>
        <v>1907738.3599999999</v>
      </c>
      <c r="D54" s="66">
        <f>2028357.46-72619.1</f>
        <v>1955738.3599999999</v>
      </c>
      <c r="E54" s="66">
        <f>98319.01-72619</f>
        <v>25700.009999999995</v>
      </c>
      <c r="F54" s="66">
        <v>46362.01</v>
      </c>
      <c r="G54" s="66">
        <f t="shared" si="2"/>
        <v>1930038.3499999999</v>
      </c>
    </row>
    <row r="55" spans="1:7" x14ac:dyDescent="0.25">
      <c r="A55" s="70" t="s">
        <v>331</v>
      </c>
      <c r="B55" s="66"/>
      <c r="C55" s="66">
        <f t="shared" si="10"/>
        <v>0</v>
      </c>
      <c r="D55" s="66"/>
      <c r="E55" s="66"/>
      <c r="F55" s="66"/>
      <c r="G55" s="66">
        <f t="shared" si="2"/>
        <v>0</v>
      </c>
    </row>
    <row r="56" spans="1:7" x14ac:dyDescent="0.25">
      <c r="A56" s="70" t="s">
        <v>332</v>
      </c>
      <c r="B56" s="66"/>
      <c r="C56" s="66">
        <f t="shared" si="10"/>
        <v>0</v>
      </c>
      <c r="D56" s="66"/>
      <c r="E56" s="66"/>
      <c r="F56" s="66"/>
      <c r="G56" s="66">
        <f t="shared" si="2"/>
        <v>0</v>
      </c>
    </row>
    <row r="57" spans="1:7" x14ac:dyDescent="0.25">
      <c r="A57" s="70" t="s">
        <v>333</v>
      </c>
      <c r="B57" s="66">
        <v>825000</v>
      </c>
      <c r="C57" s="66">
        <f t="shared" si="10"/>
        <v>-462440.22</v>
      </c>
      <c r="D57" s="66">
        <v>362559.78</v>
      </c>
      <c r="E57" s="66">
        <v>12979.82</v>
      </c>
      <c r="F57" s="66">
        <v>12979.82</v>
      </c>
      <c r="G57" s="66">
        <f t="shared" si="2"/>
        <v>349579.96</v>
      </c>
    </row>
    <row r="58" spans="1:7" x14ac:dyDescent="0.25">
      <c r="A58" s="69" t="s">
        <v>334</v>
      </c>
      <c r="B58" s="66"/>
      <c r="C58" s="66"/>
      <c r="D58" s="66"/>
      <c r="E58" s="66"/>
      <c r="F58" s="66"/>
      <c r="G58" s="66">
        <f t="shared" si="2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/>
    </row>
    <row r="60" spans="1:7" x14ac:dyDescent="0.25">
      <c r="A60" s="70" t="s">
        <v>336</v>
      </c>
      <c r="B60" s="66"/>
      <c r="C60" s="66"/>
      <c r="D60" s="66"/>
      <c r="E60" s="66"/>
      <c r="F60" s="66"/>
      <c r="G60" s="66"/>
    </row>
    <row r="61" spans="1:7" x14ac:dyDescent="0.25">
      <c r="A61" s="70" t="s">
        <v>337</v>
      </c>
      <c r="B61" s="66"/>
      <c r="C61" s="66"/>
      <c r="D61" s="66"/>
      <c r="E61" s="66"/>
      <c r="F61" s="66"/>
      <c r="G61" s="66"/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1">SUM(C63:C67,C69:C70)</f>
        <v>0</v>
      </c>
      <c r="D62" s="66">
        <f t="shared" si="11"/>
        <v>0</v>
      </c>
      <c r="E62" s="66">
        <f t="shared" si="11"/>
        <v>0</v>
      </c>
      <c r="F62" s="66">
        <f t="shared" si="11"/>
        <v>0</v>
      </c>
      <c r="G62" s="66">
        <f t="shared" si="11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3293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/>
      <c r="C71" s="66"/>
      <c r="D71" s="66"/>
      <c r="E71" s="66"/>
      <c r="F71" s="66"/>
      <c r="G71" s="66"/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/>
      <c r="C75" s="66"/>
      <c r="D75" s="66"/>
      <c r="E75" s="66"/>
      <c r="F75" s="66"/>
      <c r="G75" s="66"/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2">SUM(C85,C93,C103,C113,C123,C133,C137,C146,C150)</f>
        <v>0</v>
      </c>
      <c r="D84" s="65">
        <f>SUM(D85,D93,D103,D113,D123,D133,D137,D146,D150)</f>
        <v>21805000</v>
      </c>
      <c r="E84" s="65">
        <f>SUM(E85,E93,E103,E113,E123,E133,E137,E146,E150)</f>
        <v>21673971.549999997</v>
      </c>
      <c r="F84" s="65">
        <f t="shared" si="12"/>
        <v>21673971.549999997</v>
      </c>
      <c r="G84" s="65">
        <f t="shared" si="12"/>
        <v>131028.4500000003</v>
      </c>
    </row>
    <row r="85" spans="1:7" x14ac:dyDescent="0.25">
      <c r="A85" s="69" t="s">
        <v>286</v>
      </c>
      <c r="B85" s="66"/>
      <c r="C85" s="66"/>
      <c r="D85" s="66"/>
      <c r="E85" s="66"/>
      <c r="F85" s="66"/>
      <c r="G85" s="66"/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E93" si="13">SUM(C94:C102)</f>
        <v>0</v>
      </c>
      <c r="D93" s="66">
        <f t="shared" si="13"/>
        <v>1703852.69</v>
      </c>
      <c r="E93" s="66">
        <f t="shared" si="13"/>
        <v>1572824.3499999999</v>
      </c>
      <c r="F93" s="66">
        <v>1572824.3499999999</v>
      </c>
      <c r="G93" s="66">
        <f>D93-E93</f>
        <v>131028.34000000008</v>
      </c>
    </row>
    <row r="94" spans="1:7" x14ac:dyDescent="0.25">
      <c r="A94" s="70" t="s">
        <v>295</v>
      </c>
      <c r="B94" s="66"/>
      <c r="C94" s="66"/>
      <c r="D94" s="66">
        <v>13942.46</v>
      </c>
      <c r="E94" s="66">
        <v>13923.37</v>
      </c>
      <c r="F94" s="66">
        <v>13923.37</v>
      </c>
      <c r="G94" s="66">
        <f>D94-E94</f>
        <v>19.089999999998327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36" si="14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14"/>
        <v>0</v>
      </c>
    </row>
    <row r="97" spans="1:7" x14ac:dyDescent="0.25">
      <c r="A97" s="70" t="s">
        <v>298</v>
      </c>
      <c r="B97" s="66"/>
      <c r="C97" s="66"/>
      <c r="D97" s="66">
        <v>751139.48</v>
      </c>
      <c r="E97" s="66">
        <v>620139.48</v>
      </c>
      <c r="F97" s="66">
        <v>620139.48</v>
      </c>
      <c r="G97" s="66">
        <f t="shared" si="14"/>
        <v>131000</v>
      </c>
    </row>
    <row r="98" spans="1:7" x14ac:dyDescent="0.25">
      <c r="A98" s="34" t="s">
        <v>299</v>
      </c>
      <c r="B98" s="66"/>
      <c r="C98" s="66"/>
      <c r="D98" s="66">
        <v>33464.519999999997</v>
      </c>
      <c r="E98" s="66">
        <v>33464.519999999997</v>
      </c>
      <c r="F98" s="66">
        <v>33464.519999999997</v>
      </c>
      <c r="G98" s="66">
        <f t="shared" si="14"/>
        <v>0</v>
      </c>
    </row>
    <row r="99" spans="1:7" x14ac:dyDescent="0.25">
      <c r="A99" s="70" t="s">
        <v>300</v>
      </c>
      <c r="B99" s="66"/>
      <c r="C99" s="66"/>
      <c r="D99" s="66">
        <v>22148.84</v>
      </c>
      <c r="E99" s="66">
        <v>22147.94</v>
      </c>
      <c r="F99" s="66">
        <v>22147.94</v>
      </c>
      <c r="G99" s="66">
        <f t="shared" si="14"/>
        <v>0.90000000000145519</v>
      </c>
    </row>
    <row r="100" spans="1:7" x14ac:dyDescent="0.25">
      <c r="A100" s="70" t="s">
        <v>301</v>
      </c>
      <c r="B100" s="66"/>
      <c r="C100" s="66"/>
      <c r="D100" s="66">
        <v>840027.14</v>
      </c>
      <c r="E100" s="66">
        <v>840018.8</v>
      </c>
      <c r="F100" s="66">
        <v>840018.8</v>
      </c>
      <c r="G100" s="66">
        <f t="shared" si="14"/>
        <v>8.3399999999674037</v>
      </c>
    </row>
    <row r="101" spans="1:7" x14ac:dyDescent="0.25">
      <c r="A101" s="70" t="s">
        <v>302</v>
      </c>
      <c r="B101" s="66"/>
      <c r="C101" s="66"/>
      <c r="D101" s="66">
        <v>0</v>
      </c>
      <c r="E101" s="66">
        <v>0</v>
      </c>
      <c r="F101" s="66">
        <v>0</v>
      </c>
      <c r="G101" s="66">
        <f t="shared" si="14"/>
        <v>0</v>
      </c>
    </row>
    <row r="102" spans="1:7" x14ac:dyDescent="0.25">
      <c r="A102" s="70" t="s">
        <v>303</v>
      </c>
      <c r="B102" s="66"/>
      <c r="C102" s="66"/>
      <c r="D102" s="66">
        <v>43130.25</v>
      </c>
      <c r="E102" s="66">
        <v>43130.239999999998</v>
      </c>
      <c r="F102" s="66">
        <v>43130.239999999998</v>
      </c>
      <c r="G102" s="66">
        <f t="shared" si="14"/>
        <v>1.0000000002037268E-2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E103" si="15">SUM(D104:D112)</f>
        <v>3613015.13</v>
      </c>
      <c r="E103" s="66">
        <f t="shared" si="15"/>
        <v>3613015.1199999996</v>
      </c>
      <c r="F103" s="66">
        <v>3613015.1199999996</v>
      </c>
      <c r="G103" s="66">
        <f t="shared" si="14"/>
        <v>1.0000000242143869E-2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 t="shared" si="14"/>
        <v>0</v>
      </c>
    </row>
    <row r="105" spans="1:7" x14ac:dyDescent="0.25">
      <c r="A105" s="70" t="s">
        <v>306</v>
      </c>
      <c r="B105" s="66"/>
      <c r="C105" s="66"/>
      <c r="D105" s="66">
        <v>45063.68</v>
      </c>
      <c r="E105" s="66">
        <v>45063.68</v>
      </c>
      <c r="F105" s="66">
        <v>45063.68</v>
      </c>
      <c r="G105" s="66">
        <f t="shared" si="14"/>
        <v>0</v>
      </c>
    </row>
    <row r="106" spans="1:7" x14ac:dyDescent="0.25">
      <c r="A106" s="70" t="s">
        <v>307</v>
      </c>
      <c r="B106" s="66"/>
      <c r="C106" s="66"/>
      <c r="D106" s="66">
        <v>616598.84</v>
      </c>
      <c r="E106" s="66">
        <v>616598.84</v>
      </c>
      <c r="F106" s="66">
        <v>616598.84</v>
      </c>
      <c r="G106" s="66">
        <f t="shared" si="14"/>
        <v>0</v>
      </c>
    </row>
    <row r="107" spans="1:7" x14ac:dyDescent="0.25">
      <c r="A107" s="70" t="s">
        <v>308</v>
      </c>
      <c r="B107" s="66"/>
      <c r="C107" s="66"/>
      <c r="D107" s="66">
        <v>22576.959999999999</v>
      </c>
      <c r="E107" s="66">
        <v>22576.959999999999</v>
      </c>
      <c r="F107" s="66">
        <v>22576.959999999999</v>
      </c>
      <c r="G107" s="66">
        <f t="shared" si="14"/>
        <v>0</v>
      </c>
    </row>
    <row r="108" spans="1:7" x14ac:dyDescent="0.25">
      <c r="A108" s="70" t="s">
        <v>309</v>
      </c>
      <c r="B108" s="66"/>
      <c r="C108" s="66"/>
      <c r="D108" s="66">
        <v>2413660.5299999998</v>
      </c>
      <c r="E108" s="66">
        <v>2413660.5299999998</v>
      </c>
      <c r="F108" s="66">
        <v>2413660.5299999998</v>
      </c>
      <c r="G108" s="66">
        <f t="shared" si="14"/>
        <v>0</v>
      </c>
    </row>
    <row r="109" spans="1:7" x14ac:dyDescent="0.25">
      <c r="A109" s="70" t="s">
        <v>310</v>
      </c>
      <c r="B109" s="66"/>
      <c r="C109" s="66"/>
      <c r="D109" s="66">
        <v>8051.15</v>
      </c>
      <c r="E109" s="66">
        <v>8051.15</v>
      </c>
      <c r="F109" s="66">
        <v>8051.15</v>
      </c>
      <c r="G109" s="66">
        <f t="shared" si="14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14"/>
        <v>0</v>
      </c>
    </row>
    <row r="111" spans="1:7" x14ac:dyDescent="0.25">
      <c r="A111" s="70" t="s">
        <v>312</v>
      </c>
      <c r="B111" s="66"/>
      <c r="C111" s="66"/>
      <c r="D111" s="66">
        <v>476487.97</v>
      </c>
      <c r="E111" s="66">
        <v>476487.96</v>
      </c>
      <c r="F111" s="66">
        <v>476487.96</v>
      </c>
      <c r="G111" s="66">
        <f t="shared" si="14"/>
        <v>9.9999999511055648E-3</v>
      </c>
    </row>
    <row r="112" spans="1:7" x14ac:dyDescent="0.25">
      <c r="A112" s="70" t="s">
        <v>313</v>
      </c>
      <c r="B112" s="66"/>
      <c r="C112" s="66"/>
      <c r="D112" s="66">
        <v>30576</v>
      </c>
      <c r="E112" s="66">
        <v>30576</v>
      </c>
      <c r="F112" s="66">
        <v>30576</v>
      </c>
      <c r="G112" s="66">
        <f t="shared" si="14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E113" si="16">SUM(C114:C122)</f>
        <v>0</v>
      </c>
      <c r="D113" s="66">
        <f t="shared" si="16"/>
        <v>16350000</v>
      </c>
      <c r="E113" s="66">
        <f t="shared" si="16"/>
        <v>16350000</v>
      </c>
      <c r="F113" s="66">
        <v>16350000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 t="shared" si="14"/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si="14"/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14"/>
        <v>0</v>
      </c>
    </row>
    <row r="117" spans="1:7" x14ac:dyDescent="0.25">
      <c r="A117" s="70" t="s">
        <v>318</v>
      </c>
      <c r="B117" s="66">
        <v>0</v>
      </c>
      <c r="C117" s="66"/>
      <c r="D117" s="66">
        <v>16350000</v>
      </c>
      <c r="E117" s="66">
        <v>16350000</v>
      </c>
      <c r="F117" s="66">
        <v>16350000</v>
      </c>
      <c r="G117" s="66">
        <f t="shared" si="14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14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14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14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14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14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E123" si="17">SUM(C124:C132)</f>
        <v>0</v>
      </c>
      <c r="D123" s="66">
        <f t="shared" si="17"/>
        <v>138132.18</v>
      </c>
      <c r="E123" s="66">
        <f t="shared" si="17"/>
        <v>138132.08000000002</v>
      </c>
      <c r="F123" s="66">
        <v>138132.08000000002</v>
      </c>
      <c r="G123" s="66">
        <f t="shared" si="14"/>
        <v>9.9999999976716936E-2</v>
      </c>
    </row>
    <row r="124" spans="1:7" x14ac:dyDescent="0.25">
      <c r="A124" s="70" t="s">
        <v>325</v>
      </c>
      <c r="B124" s="66"/>
      <c r="C124" s="66"/>
      <c r="D124" s="66">
        <v>16793.080000000002</v>
      </c>
      <c r="E124" s="66">
        <v>16793.080000000002</v>
      </c>
      <c r="F124" s="66">
        <v>16793.080000000002</v>
      </c>
      <c r="G124" s="66">
        <f t="shared" si="14"/>
        <v>0</v>
      </c>
    </row>
    <row r="125" spans="1:7" x14ac:dyDescent="0.25">
      <c r="A125" s="70" t="s">
        <v>326</v>
      </c>
      <c r="B125" s="66"/>
      <c r="C125" s="66"/>
      <c r="D125" s="66">
        <v>48720</v>
      </c>
      <c r="E125" s="66">
        <v>48720</v>
      </c>
      <c r="F125" s="66">
        <v>48720</v>
      </c>
      <c r="G125" s="66">
        <f t="shared" si="14"/>
        <v>0</v>
      </c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>
        <f t="shared" si="14"/>
        <v>0</v>
      </c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si="14"/>
        <v>0</v>
      </c>
    </row>
    <row r="128" spans="1:7" x14ac:dyDescent="0.25">
      <c r="A128" s="70" t="s">
        <v>329</v>
      </c>
      <c r="B128" s="66"/>
      <c r="C128" s="66"/>
      <c r="D128" s="66">
        <v>72619.100000000006</v>
      </c>
      <c r="E128" s="66">
        <v>72619</v>
      </c>
      <c r="F128" s="66">
        <v>72619</v>
      </c>
      <c r="G128" s="66">
        <f t="shared" si="14"/>
        <v>0.10000000000582077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14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14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14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14"/>
        <v>0</v>
      </c>
    </row>
    <row r="133" spans="1:7" x14ac:dyDescent="0.25">
      <c r="A133" s="69" t="s">
        <v>334</v>
      </c>
      <c r="B133" s="66"/>
      <c r="C133" s="66"/>
      <c r="D133" s="66"/>
      <c r="E133" s="66"/>
      <c r="F133" s="66"/>
      <c r="G133" s="66">
        <f t="shared" si="14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 t="shared" si="14"/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si="14"/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14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8">SUM(C138:C142,C144:C145)</f>
        <v>0</v>
      </c>
      <c r="D137" s="66">
        <f t="shared" si="18"/>
        <v>0</v>
      </c>
      <c r="E137" s="66">
        <f t="shared" si="18"/>
        <v>0</v>
      </c>
      <c r="F137" s="66">
        <f t="shared" si="18"/>
        <v>0</v>
      </c>
      <c r="G137" s="66">
        <f t="shared" si="18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3293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/>
      <c r="C146" s="66"/>
      <c r="D146" s="66"/>
      <c r="E146" s="66"/>
      <c r="F146" s="66"/>
      <c r="G146" s="66"/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82610246</v>
      </c>
      <c r="C159" s="65">
        <f t="shared" ref="C159:G159" si="20">C9+C84</f>
        <v>3297569.9999999991</v>
      </c>
      <c r="D159" s="65">
        <f t="shared" si="20"/>
        <v>107712816</v>
      </c>
      <c r="E159" s="65">
        <f t="shared" si="20"/>
        <v>97120217.640000001</v>
      </c>
      <c r="F159" s="65">
        <f>F9+F84</f>
        <v>102115627.71999998</v>
      </c>
      <c r="G159" s="65">
        <f t="shared" si="20"/>
        <v>10592598.360000001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idden="1" x14ac:dyDescent="0.2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3">
        <f>'Formato 6 a)'!B9</f>
        <v>82610246</v>
      </c>
      <c r="Q2" s="13">
        <f>'Formato 6 a)'!C9</f>
        <v>3297569.9999999991</v>
      </c>
      <c r="R2" s="13">
        <f>'Formato 6 a)'!D9</f>
        <v>85907816</v>
      </c>
      <c r="S2" s="13">
        <f>'Formato 6 a)'!E9</f>
        <v>75446246.090000004</v>
      </c>
      <c r="T2" s="13">
        <f>'Formato 6 a)'!F9</f>
        <v>80441656.169999987</v>
      </c>
      <c r="U2" s="13">
        <f>'Formato 6 a)'!G9</f>
        <v>10461569.91</v>
      </c>
    </row>
    <row r="3" spans="1:25" x14ac:dyDescent="0.2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3">
        <f>'Formato 6 a)'!B10</f>
        <v>53468765</v>
      </c>
      <c r="Q3" s="13">
        <f>'Formato 6 a)'!C10</f>
        <v>275001.16000000015</v>
      </c>
      <c r="R3" s="13">
        <f>'Formato 6 a)'!D10</f>
        <v>53743766.159999996</v>
      </c>
      <c r="S3" s="13">
        <f>'Formato 6 a)'!E10</f>
        <v>49740588.68</v>
      </c>
      <c r="T3" s="13">
        <f>'Formato 6 a)'!F10</f>
        <v>49707577.079999991</v>
      </c>
      <c r="U3" s="13">
        <f>'Formato 6 a)'!G10</f>
        <v>4003177.4799999967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3">
        <f>'Formato 6 a)'!B11</f>
        <v>15041842</v>
      </c>
      <c r="Q4" s="13">
        <f>'Formato 6 a)'!C11</f>
        <v>-108433</v>
      </c>
      <c r="R4" s="13">
        <f>'Formato 6 a)'!D11</f>
        <v>14933409</v>
      </c>
      <c r="S4" s="13">
        <f>'Formato 6 a)'!E11</f>
        <v>14329759.050000001</v>
      </c>
      <c r="T4" s="13">
        <f>'Formato 6 a)'!F11</f>
        <v>14329759.050000001</v>
      </c>
      <c r="U4" s="13">
        <f>'Formato 6 a)'!G11</f>
        <v>603649.94999999925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3">
        <f>'Formato 6 a)'!B12</f>
        <v>17705348</v>
      </c>
      <c r="Q5" s="13">
        <f>'Formato 6 a)'!C12</f>
        <v>432466.16000000015</v>
      </c>
      <c r="R5" s="13">
        <f>'Formato 6 a)'!D12</f>
        <v>18137814.16</v>
      </c>
      <c r="S5" s="13">
        <f>'Formato 6 a)'!E12</f>
        <v>16779361.27</v>
      </c>
      <c r="T5" s="13">
        <f>'Formato 6 a)'!F12</f>
        <v>16746349.67</v>
      </c>
      <c r="U5" s="13">
        <f>'Formato 6 a)'!G12</f>
        <v>1358452.8900000006</v>
      </c>
      <c r="V5" s="13"/>
    </row>
    <row r="6" spans="1:25" x14ac:dyDescent="0.2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3">
        <f>'Formato 6 a)'!B13</f>
        <v>3655983</v>
      </c>
      <c r="Q6" s="13">
        <f>'Formato 6 a)'!C13</f>
        <v>65508</v>
      </c>
      <c r="R6" s="13">
        <f>'Formato 6 a)'!D13</f>
        <v>3721491</v>
      </c>
      <c r="S6" s="13">
        <f>'Formato 6 a)'!E13</f>
        <v>3351822.16</v>
      </c>
      <c r="T6" s="13">
        <f>'Formato 6 a)'!F13</f>
        <v>3351822.16</v>
      </c>
      <c r="U6" s="13">
        <f>'Formato 6 a)'!G13</f>
        <v>369668.83999999985</v>
      </c>
      <c r="V6" s="13"/>
    </row>
    <row r="7" spans="1:25" x14ac:dyDescent="0.2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3">
        <f>'Formato 6 a)'!B14</f>
        <v>5263715</v>
      </c>
      <c r="Q7" s="13">
        <f>'Formato 6 a)'!C14</f>
        <v>23203</v>
      </c>
      <c r="R7" s="13">
        <f>'Formato 6 a)'!D14</f>
        <v>5286918</v>
      </c>
      <c r="S7" s="13">
        <f>'Formato 6 a)'!E14</f>
        <v>4907735.41</v>
      </c>
      <c r="T7" s="13">
        <f>'Formato 6 a)'!F14</f>
        <v>4907735.41</v>
      </c>
      <c r="U7" s="13">
        <f>'Formato 6 a)'!G14</f>
        <v>379182.58999999985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3">
        <f>'Formato 6 a)'!B15</f>
        <v>11233277</v>
      </c>
      <c r="Q8" s="13">
        <f>'Formato 6 a)'!C15</f>
        <v>-137743</v>
      </c>
      <c r="R8" s="13">
        <f>'Formato 6 a)'!D15</f>
        <v>11095534</v>
      </c>
      <c r="S8" s="13">
        <f>'Formato 6 a)'!E15</f>
        <v>10000634.74</v>
      </c>
      <c r="T8" s="13">
        <f>'Formato 6 a)'!F15</f>
        <v>10000634.74</v>
      </c>
      <c r="U8" s="13">
        <f>'Formato 6 a)'!G15</f>
        <v>1094899.2599999998</v>
      </c>
    </row>
    <row r="9" spans="1:25" x14ac:dyDescent="0.2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3">
        <f>'Formato 6 a)'!B17</f>
        <v>568600</v>
      </c>
      <c r="Q10" s="13">
        <f>'Formato 6 a)'!C17</f>
        <v>0</v>
      </c>
      <c r="R10" s="13">
        <f>'Formato 6 a)'!D17</f>
        <v>568600</v>
      </c>
      <c r="S10" s="13">
        <f>'Formato 6 a)'!E17</f>
        <v>371276.05</v>
      </c>
      <c r="T10" s="13">
        <f>'Formato 6 a)'!F17</f>
        <v>371276.05</v>
      </c>
      <c r="U10" s="13">
        <f>'Formato 6 a)'!G17</f>
        <v>197323.95</v>
      </c>
    </row>
    <row r="11" spans="1:25" x14ac:dyDescent="0.2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3">
        <f>'Formato 6 a)'!B18</f>
        <v>7081366.1200000001</v>
      </c>
      <c r="Q11" s="13">
        <f>'Formato 6 a)'!C18</f>
        <v>1266625.7300000004</v>
      </c>
      <c r="R11" s="13">
        <f>'Formato 6 a)'!D18</f>
        <v>8347991.8500000006</v>
      </c>
      <c r="S11" s="13">
        <f>'Formato 6 a)'!E18</f>
        <v>6574249.04</v>
      </c>
      <c r="T11" s="13">
        <f>'Formato 6 a)'!F18</f>
        <v>4986958.8699999992</v>
      </c>
      <c r="U11" s="13">
        <f>'Formato 6 a)'!G18</f>
        <v>1773742.8100000005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P12" s="13">
        <f>'Formato 6 a)'!B19</f>
        <v>766463.32</v>
      </c>
      <c r="Q12" s="13">
        <f>'Formato 6 a)'!C19</f>
        <v>-44610.989999999874</v>
      </c>
      <c r="R12" s="13">
        <f>'Formato 6 a)'!D19</f>
        <v>721852.33000000007</v>
      </c>
      <c r="S12" s="13">
        <f>'Formato 6 a)'!E19</f>
        <v>425635.57</v>
      </c>
      <c r="T12" s="13">
        <f>'Formato 6 a)'!F19</f>
        <v>385573.64</v>
      </c>
      <c r="U12" s="13">
        <f>'Formato 6 a)'!G19</f>
        <v>296216.76000000007</v>
      </c>
    </row>
    <row r="13" spans="1:25" x14ac:dyDescent="0.2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3">
        <f>'Formato 6 a)'!B20</f>
        <v>83442.8</v>
      </c>
      <c r="Q13" s="13">
        <f>'Formato 6 a)'!C20</f>
        <v>-175.69999999999709</v>
      </c>
      <c r="R13" s="13">
        <f>'Formato 6 a)'!D20</f>
        <v>83267.100000000006</v>
      </c>
      <c r="S13" s="13">
        <f>'Formato 6 a)'!E20</f>
        <v>54971.48</v>
      </c>
      <c r="T13" s="13">
        <f>'Formato 6 a)'!F20</f>
        <v>50765.48</v>
      </c>
      <c r="U13" s="13">
        <f>'Formato 6 a)'!G20</f>
        <v>28295.620000000003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3">
        <f>'Formato 6 a)'!B22</f>
        <v>786965</v>
      </c>
      <c r="Q15" s="13">
        <f>'Formato 6 a)'!C22</f>
        <v>6145.8600000001024</v>
      </c>
      <c r="R15" s="13">
        <f>'Formato 6 a)'!D22</f>
        <v>793110.8600000001</v>
      </c>
      <c r="S15" s="13">
        <f>'Formato 6 a)'!E22</f>
        <v>476986.60000000009</v>
      </c>
      <c r="T15" s="13">
        <f>'Formato 6 a)'!F22</f>
        <v>33538.910000000033</v>
      </c>
      <c r="U15" s="13">
        <f>'Formato 6 a)'!G22</f>
        <v>316124.26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3">
        <f>'Formato 6 a)'!B23</f>
        <v>1240749</v>
      </c>
      <c r="Q16" s="13">
        <f>'Formato 6 a)'!C23</f>
        <v>309511.60999999987</v>
      </c>
      <c r="R16" s="13">
        <f>'Formato 6 a)'!D23</f>
        <v>1550260.6099999999</v>
      </c>
      <c r="S16" s="13">
        <f>'Formato 6 a)'!E23</f>
        <v>1440654.19</v>
      </c>
      <c r="T16" s="13">
        <f>'Formato 6 a)'!F23</f>
        <v>1234086.26</v>
      </c>
      <c r="U16" s="13">
        <f>'Formato 6 a)'!G23</f>
        <v>109606.41999999993</v>
      </c>
    </row>
    <row r="17" spans="1:21" x14ac:dyDescent="0.2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3">
        <f>'Formato 6 a)'!B24</f>
        <v>587122.19999999995</v>
      </c>
      <c r="Q17" s="13">
        <f>'Formato 6 a)'!C24</f>
        <v>-43751.559999999939</v>
      </c>
      <c r="R17" s="13">
        <f>'Formato 6 a)'!D24</f>
        <v>543370.64</v>
      </c>
      <c r="S17" s="13">
        <f>'Formato 6 a)'!E24</f>
        <v>392414.86</v>
      </c>
      <c r="T17" s="13">
        <f>'Formato 6 a)'!F24</f>
        <v>375137.27</v>
      </c>
      <c r="U17" s="13">
        <f>'Formato 6 a)'!G24</f>
        <v>150955.78000000003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3">
        <f>'Formato 6 a)'!B25</f>
        <v>3250022</v>
      </c>
      <c r="Q18" s="13">
        <f>'Formato 6 a)'!C25</f>
        <v>711476.09000000032</v>
      </c>
      <c r="R18" s="13">
        <f>'Formato 6 a)'!D25</f>
        <v>3961498.0900000003</v>
      </c>
      <c r="S18" s="13">
        <f>'Formato 6 a)'!E25</f>
        <v>3235489.3</v>
      </c>
      <c r="T18" s="13">
        <f>'Formato 6 a)'!F25</f>
        <v>2423463.13</v>
      </c>
      <c r="U18" s="13">
        <f>'Formato 6 a)'!G25</f>
        <v>726008.7900000005</v>
      </c>
    </row>
    <row r="19" spans="1:21" x14ac:dyDescent="0.2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x14ac:dyDescent="0.2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3">
        <f>'Formato 6 a)'!B27</f>
        <v>366601.8</v>
      </c>
      <c r="Q20" s="13">
        <f>'Formato 6 a)'!C27</f>
        <v>328030.42</v>
      </c>
      <c r="R20" s="13">
        <f>'Formato 6 a)'!D27</f>
        <v>694632.22</v>
      </c>
      <c r="S20" s="13">
        <f>'Formato 6 a)'!E27</f>
        <v>548097.04</v>
      </c>
      <c r="T20" s="13">
        <f>'Formato 6 a)'!F27</f>
        <v>484394.18000000005</v>
      </c>
      <c r="U20" s="13">
        <f>'Formato 6 a)'!G27</f>
        <v>146535.17999999993</v>
      </c>
    </row>
    <row r="21" spans="1:21" x14ac:dyDescent="0.2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3">
        <f>'Formato 6 a)'!B28</f>
        <v>20229908.380000003</v>
      </c>
      <c r="Q21" s="13">
        <f>'Formato 6 a)'!C28</f>
        <v>-102297.39999999962</v>
      </c>
      <c r="R21" s="13">
        <f>'Formato 6 a)'!D28</f>
        <v>20127610.980000004</v>
      </c>
      <c r="S21" s="13">
        <f>'Formato 6 a)'!E28</f>
        <v>17910856.879999999</v>
      </c>
      <c r="T21" s="13">
        <f>'Formato 6 a)'!F28</f>
        <v>15266924.140000001</v>
      </c>
      <c r="U21" s="13">
        <f>'Formato 6 a)'!G28</f>
        <v>2216754.1000000052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3">
        <f>'Formato 6 a)'!B29</f>
        <v>9948908</v>
      </c>
      <c r="Q22" s="13">
        <f>'Formato 6 a)'!C29</f>
        <v>-2151641.38</v>
      </c>
      <c r="R22" s="13">
        <f>'Formato 6 a)'!D29</f>
        <v>7797266.6200000001</v>
      </c>
      <c r="S22" s="13">
        <f>'Formato 6 a)'!E29</f>
        <v>7177703.1299999999</v>
      </c>
      <c r="T22" s="13">
        <f>'Formato 6 a)'!F29</f>
        <v>6307540.2400000002</v>
      </c>
      <c r="U22" s="13">
        <f>'Formato 6 a)'!G29</f>
        <v>619563.49000000022</v>
      </c>
    </row>
    <row r="23" spans="1:21" x14ac:dyDescent="0.2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3">
        <f>'Formato 6 a)'!B30</f>
        <v>1142688.32</v>
      </c>
      <c r="Q23" s="13">
        <f>'Formato 6 a)'!C30</f>
        <v>837681.2</v>
      </c>
      <c r="R23" s="13">
        <f>'Formato 6 a)'!D30</f>
        <v>1980369.52</v>
      </c>
      <c r="S23" s="13">
        <f>'Formato 6 a)'!E30</f>
        <v>1927029.08</v>
      </c>
      <c r="T23" s="13">
        <f>'Formato 6 a)'!F30</f>
        <v>1927029.08</v>
      </c>
      <c r="U23" s="13">
        <f>'Formato 6 a)'!G30</f>
        <v>53340.439999999944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3">
        <f>'Formato 6 a)'!B31</f>
        <v>3737525.18</v>
      </c>
      <c r="Q24" s="13">
        <f>'Formato 6 a)'!C31</f>
        <v>1352363.0299999998</v>
      </c>
      <c r="R24" s="13">
        <f>'Formato 6 a)'!D31</f>
        <v>5089888.21</v>
      </c>
      <c r="S24" s="13">
        <f>'Formato 6 a)'!E31</f>
        <v>4687109.68</v>
      </c>
      <c r="T24" s="13">
        <f>'Formato 6 a)'!F31</f>
        <v>3389188.5</v>
      </c>
      <c r="U24" s="13">
        <f>'Formato 6 a)'!G31</f>
        <v>402778.53000000026</v>
      </c>
    </row>
    <row r="25" spans="1:21" x14ac:dyDescent="0.2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3">
        <f>'Formato 6 a)'!B32</f>
        <v>609316.88</v>
      </c>
      <c r="Q25" s="13">
        <f>'Formato 6 a)'!C32</f>
        <v>-31897.650000000023</v>
      </c>
      <c r="R25" s="13">
        <f>'Formato 6 a)'!D32</f>
        <v>577419.23</v>
      </c>
      <c r="S25" s="13">
        <f>'Formato 6 a)'!E32</f>
        <v>523180.33</v>
      </c>
      <c r="T25" s="13">
        <f>'Formato 6 a)'!F32</f>
        <v>468853.93</v>
      </c>
      <c r="U25" s="13">
        <f>'Formato 6 a)'!G32</f>
        <v>54238.899999999965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3">
        <f>'Formato 6 a)'!B33</f>
        <v>772792</v>
      </c>
      <c r="Q26" s="13">
        <f>'Formato 6 a)'!C33</f>
        <v>-156160.13999999966</v>
      </c>
      <c r="R26" s="13">
        <f>'Formato 6 a)'!D33</f>
        <v>616631.86000000034</v>
      </c>
      <c r="S26" s="13">
        <f>'Formato 6 a)'!E33</f>
        <v>364240.46000000043</v>
      </c>
      <c r="T26" s="13">
        <f>'Formato 6 a)'!F33</f>
        <v>97574.030000000261</v>
      </c>
      <c r="U26" s="13">
        <f>'Formato 6 a)'!G33</f>
        <v>252391.39999999991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3">
        <f>'Formato 6 a)'!B34</f>
        <v>1951465</v>
      </c>
      <c r="Q27" s="13">
        <f>'Formato 6 a)'!C34</f>
        <v>185592.66000000015</v>
      </c>
      <c r="R27" s="13">
        <f>'Formato 6 a)'!D34</f>
        <v>2137057.66</v>
      </c>
      <c r="S27" s="13">
        <f>'Formato 6 a)'!E34</f>
        <v>2035834.3</v>
      </c>
      <c r="T27" s="13">
        <f>'Formato 6 a)'!F34</f>
        <v>1914351.77</v>
      </c>
      <c r="U27" s="13">
        <f>'Formato 6 a)'!G34</f>
        <v>101223.3600000001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3">
        <f>'Formato 6 a)'!B35</f>
        <v>629602</v>
      </c>
      <c r="Q28" s="13">
        <f>'Formato 6 a)'!C35</f>
        <v>-154356.96000000002</v>
      </c>
      <c r="R28" s="13">
        <f>'Formato 6 a)'!D35</f>
        <v>475245.04</v>
      </c>
      <c r="S28" s="13">
        <f>'Formato 6 a)'!E35</f>
        <v>290182.14</v>
      </c>
      <c r="T28" s="13">
        <f>'Formato 6 a)'!F35</f>
        <v>268589.14</v>
      </c>
      <c r="U28" s="13">
        <f>'Formato 6 a)'!G35</f>
        <v>185062.89999999997</v>
      </c>
    </row>
    <row r="29" spans="1:21" x14ac:dyDescent="0.2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3">
        <f>'Formato 6 a)'!B36</f>
        <v>337080</v>
      </c>
      <c r="Q29" s="13">
        <f>'Formato 6 a)'!C36</f>
        <v>-38075.489999999991</v>
      </c>
      <c r="R29" s="13">
        <f>'Formato 6 a)'!D36</f>
        <v>299004.51</v>
      </c>
      <c r="S29" s="13">
        <f>'Formato 6 a)'!E36</f>
        <v>64220.22000000003</v>
      </c>
      <c r="T29" s="13">
        <f>'Formato 6 a)'!F36</f>
        <v>52439.909999999974</v>
      </c>
      <c r="U29" s="13">
        <f>'Formato 6 a)'!G36</f>
        <v>234784.28999999998</v>
      </c>
    </row>
    <row r="30" spans="1:21" x14ac:dyDescent="0.2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3">
        <f>'Formato 6 a)'!B37</f>
        <v>1100531</v>
      </c>
      <c r="Q30" s="13">
        <f>'Formato 6 a)'!C37</f>
        <v>54197.330000000075</v>
      </c>
      <c r="R30" s="13">
        <f>'Formato 6 a)'!D37</f>
        <v>1154728.33</v>
      </c>
      <c r="S30" s="13">
        <f>'Formato 6 a)'!E37</f>
        <v>841357.54</v>
      </c>
      <c r="T30" s="13">
        <f>'Formato 6 a)'!F37</f>
        <v>841357.54</v>
      </c>
      <c r="U30" s="13">
        <f>'Formato 6 a)'!G37</f>
        <v>313370.79000000004</v>
      </c>
    </row>
    <row r="31" spans="1:21" x14ac:dyDescent="0.2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3">
        <f>'Formato 6 a)'!B38</f>
        <v>694429.5</v>
      </c>
      <c r="Q31" s="13">
        <f>'Formato 6 a)'!C38</f>
        <v>215688.57999999821</v>
      </c>
      <c r="R31" s="13">
        <f>'Formato 6 a)'!D38</f>
        <v>910118.07999999821</v>
      </c>
      <c r="S31" s="13">
        <f>'Formato 6 a)'!E38</f>
        <v>861876.58999999985</v>
      </c>
      <c r="T31" s="13">
        <f>'Formato 6 a)'!F38</f>
        <v>10212733.51</v>
      </c>
      <c r="U31" s="13">
        <f>'Formato 6 a)'!G38</f>
        <v>48241.489999998361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x14ac:dyDescent="0.2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x14ac:dyDescent="0.2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3">
        <f>'Formato 6 a)'!B42</f>
        <v>694429.5</v>
      </c>
      <c r="Q35" s="13">
        <f>'Formato 6 a)'!C42</f>
        <v>215688.57999999821</v>
      </c>
      <c r="R35" s="13">
        <f>'Formato 6 a)'!D42</f>
        <v>910118.07999999821</v>
      </c>
      <c r="S35" s="13">
        <f>'Formato 6 a)'!E42</f>
        <v>861876.58999999985</v>
      </c>
      <c r="T35" s="13">
        <f>'Formato 6 a)'!F42</f>
        <v>10212733.51</v>
      </c>
      <c r="U35" s="13">
        <f>'Formato 6 a)'!G42</f>
        <v>48241.489999998361</v>
      </c>
    </row>
    <row r="36" spans="1:21" x14ac:dyDescent="0.2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x14ac:dyDescent="0.2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x14ac:dyDescent="0.2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x14ac:dyDescent="0.2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x14ac:dyDescent="0.2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3">
        <f>'Formato 6 a)'!B48</f>
        <v>1135777</v>
      </c>
      <c r="Q41" s="13">
        <f>'Formato 6 a)'!C48</f>
        <v>1642551.93</v>
      </c>
      <c r="R41" s="13">
        <f>'Formato 6 a)'!D48</f>
        <v>2778328.9299999997</v>
      </c>
      <c r="S41" s="13">
        <f>'Formato 6 a)'!E48</f>
        <v>358674.9</v>
      </c>
      <c r="T41" s="13">
        <f>'Formato 6 a)'!F48</f>
        <v>267462.57</v>
      </c>
      <c r="U41" s="13">
        <f>'Formato 6 a)'!G48</f>
        <v>2419654.0299999998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3">
        <f>'Formato 6 a)'!B49</f>
        <v>76277</v>
      </c>
      <c r="Q42" s="13">
        <f>'Formato 6 a)'!C49</f>
        <v>118452.89000000001</v>
      </c>
      <c r="R42" s="13">
        <f>'Formato 6 a)'!D49</f>
        <v>194729.89</v>
      </c>
      <c r="S42" s="13">
        <f>'Formato 6 a)'!E49</f>
        <v>178106.40000000002</v>
      </c>
      <c r="T42" s="13">
        <f>'Formato 6 a)'!F49</f>
        <v>136723.64000000001</v>
      </c>
      <c r="U42" s="13">
        <f>'Formato 6 a)'!G49</f>
        <v>16623.489999999991</v>
      </c>
    </row>
    <row r="43" spans="1:21" x14ac:dyDescent="0.2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3">
        <f>'Formato 6 a)'!B50</f>
        <v>186500</v>
      </c>
      <c r="Q43" s="13">
        <f>'Formato 6 a)'!C50</f>
        <v>55800.900000000023</v>
      </c>
      <c r="R43" s="13">
        <f>'Formato 6 a)'!D50</f>
        <v>242300.90000000002</v>
      </c>
      <c r="S43" s="13">
        <f>'Formato 6 a)'!E50</f>
        <v>126885.10999999999</v>
      </c>
      <c r="T43" s="13">
        <f>'Formato 6 a)'!F50</f>
        <v>71397.100000000006</v>
      </c>
      <c r="U43" s="13">
        <f>'Formato 6 a)'!G50</f>
        <v>115415.79000000004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3">
        <f>'Formato 6 a)'!B51</f>
        <v>0</v>
      </c>
      <c r="Q44" s="13">
        <f>'Formato 6 a)'!C51</f>
        <v>23000</v>
      </c>
      <c r="R44" s="13">
        <f>'Formato 6 a)'!D51</f>
        <v>23000</v>
      </c>
      <c r="S44" s="13">
        <f>'Formato 6 a)'!E51</f>
        <v>15003.56</v>
      </c>
      <c r="T44" s="13">
        <f>'Formato 6 a)'!F51</f>
        <v>0</v>
      </c>
      <c r="U44" s="13">
        <f>'Formato 6 a)'!G51</f>
        <v>7996.4400000000005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x14ac:dyDescent="0.2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x14ac:dyDescent="0.2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3">
        <f>'Formato 6 a)'!B54</f>
        <v>48000</v>
      </c>
      <c r="Q47" s="13">
        <f>'Formato 6 a)'!C54</f>
        <v>1907738.3599999999</v>
      </c>
      <c r="R47" s="13">
        <f>'Formato 6 a)'!D54</f>
        <v>1955738.3599999999</v>
      </c>
      <c r="S47" s="13">
        <f>'Formato 6 a)'!E54</f>
        <v>25700.009999999995</v>
      </c>
      <c r="T47" s="13">
        <f>'Formato 6 a)'!F54</f>
        <v>46362.01</v>
      </c>
      <c r="U47" s="13">
        <f>'Formato 6 a)'!G54</f>
        <v>1930038.3499999999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x14ac:dyDescent="0.2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x14ac:dyDescent="0.2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3">
        <f>'Formato 6 a)'!B57</f>
        <v>825000</v>
      </c>
      <c r="Q50" s="13">
        <f>'Formato 6 a)'!C57</f>
        <v>-462440.22</v>
      </c>
      <c r="R50" s="13">
        <f>'Formato 6 a)'!D57</f>
        <v>362559.78</v>
      </c>
      <c r="S50" s="13">
        <f>'Formato 6 a)'!E57</f>
        <v>12979.82</v>
      </c>
      <c r="T50" s="13">
        <f>'Formato 6 a)'!F57</f>
        <v>12979.82</v>
      </c>
      <c r="U50" s="13">
        <f>'Formato 6 a)'!G57</f>
        <v>349579.96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x14ac:dyDescent="0.2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x14ac:dyDescent="0.2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x14ac:dyDescent="0.2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x14ac:dyDescent="0.2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x14ac:dyDescent="0.2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x14ac:dyDescent="0.2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x14ac:dyDescent="0.2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x14ac:dyDescent="0.2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x14ac:dyDescent="0.2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x14ac:dyDescent="0.2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x14ac:dyDescent="0.2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x14ac:dyDescent="0.2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x14ac:dyDescent="0.2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x14ac:dyDescent="0.2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x14ac:dyDescent="0.25">
      <c r="A76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21805000</v>
      </c>
      <c r="S76">
        <f>'Formato 6 a)'!E84</f>
        <v>21673971.549999997</v>
      </c>
      <c r="T76">
        <f>'Formato 6 a)'!F84</f>
        <v>21673971.549999997</v>
      </c>
      <c r="U76">
        <f>'Formato 6 a)'!G84</f>
        <v>131028.4500000003</v>
      </c>
    </row>
    <row r="77" spans="1:21" x14ac:dyDescent="0.2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1703852.69</v>
      </c>
      <c r="S85">
        <f>'Formato 6 a)'!E93</f>
        <v>1572824.3499999999</v>
      </c>
      <c r="T85">
        <f>'Formato 6 a)'!F93</f>
        <v>1572824.3499999999</v>
      </c>
      <c r="U85">
        <f>'Formato 6 a)'!G93</f>
        <v>131028.34000000008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13942.46</v>
      </c>
      <c r="S86">
        <f>'Formato 6 a)'!E94</f>
        <v>13923.37</v>
      </c>
      <c r="T86">
        <f>'Formato 6 a)'!F94</f>
        <v>13923.37</v>
      </c>
      <c r="U86">
        <f>'Formato 6 a)'!G94</f>
        <v>19.089999999998327</v>
      </c>
    </row>
    <row r="87" spans="1:21" x14ac:dyDescent="0.2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751139.48</v>
      </c>
      <c r="S89">
        <f>'Formato 6 a)'!E97</f>
        <v>620139.48</v>
      </c>
      <c r="T89">
        <f>'Formato 6 a)'!F97</f>
        <v>620139.48</v>
      </c>
      <c r="U89">
        <f>'Formato 6 a)'!G97</f>
        <v>131000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33464.519999999997</v>
      </c>
      <c r="S90">
        <f>'Formato 6 a)'!E98</f>
        <v>33464.519999999997</v>
      </c>
      <c r="T90">
        <f>'Formato 6 a)'!F98</f>
        <v>33464.519999999997</v>
      </c>
      <c r="U90">
        <f>'Formato 6 a)'!G98</f>
        <v>0</v>
      </c>
    </row>
    <row r="91" spans="1:21" x14ac:dyDescent="0.2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22148.84</v>
      </c>
      <c r="S91">
        <f>'Formato 6 a)'!E99</f>
        <v>22147.94</v>
      </c>
      <c r="T91">
        <f>'Formato 6 a)'!F99</f>
        <v>22147.94</v>
      </c>
      <c r="U91">
        <f>'Formato 6 a)'!G99</f>
        <v>0.90000000000145519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840027.14</v>
      </c>
      <c r="S92">
        <f>'Formato 6 a)'!E100</f>
        <v>840018.8</v>
      </c>
      <c r="T92">
        <f>'Formato 6 a)'!F100</f>
        <v>840018.8</v>
      </c>
      <c r="U92">
        <f>'Formato 6 a)'!G100</f>
        <v>8.3399999999674037</v>
      </c>
    </row>
    <row r="93" spans="1:21" x14ac:dyDescent="0.2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43130.25</v>
      </c>
      <c r="S94">
        <f>'Formato 6 a)'!E102</f>
        <v>43130.239999999998</v>
      </c>
      <c r="T94">
        <f>'Formato 6 a)'!F102</f>
        <v>43130.239999999998</v>
      </c>
      <c r="U94">
        <f>'Formato 6 a)'!G102</f>
        <v>1.0000000002037268E-2</v>
      </c>
    </row>
    <row r="95" spans="1:21" x14ac:dyDescent="0.2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3613015.13</v>
      </c>
      <c r="S95">
        <f>'Formato 6 a)'!E103</f>
        <v>3613015.1199999996</v>
      </c>
      <c r="T95">
        <f>'Formato 6 a)'!F103</f>
        <v>3613015.1199999996</v>
      </c>
      <c r="U95">
        <f>'Formato 6 a)'!G103</f>
        <v>1.0000000242143869E-2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45063.68</v>
      </c>
      <c r="S97">
        <f>'Formato 6 a)'!E105</f>
        <v>45063.68</v>
      </c>
      <c r="T97">
        <f>'Formato 6 a)'!F105</f>
        <v>45063.68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616598.84</v>
      </c>
      <c r="S98">
        <f>'Formato 6 a)'!E106</f>
        <v>616598.84</v>
      </c>
      <c r="T98">
        <f>'Formato 6 a)'!F106</f>
        <v>616598.84</v>
      </c>
      <c r="U98">
        <f>'Formato 6 a)'!G106</f>
        <v>0</v>
      </c>
    </row>
    <row r="99" spans="1:21" x14ac:dyDescent="0.2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22576.959999999999</v>
      </c>
      <c r="S99">
        <f>'Formato 6 a)'!E107</f>
        <v>22576.959999999999</v>
      </c>
      <c r="T99">
        <f>'Formato 6 a)'!F107</f>
        <v>22576.959999999999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2413660.5299999998</v>
      </c>
      <c r="S100">
        <f>'Formato 6 a)'!E108</f>
        <v>2413660.5299999998</v>
      </c>
      <c r="T100">
        <f>'Formato 6 a)'!F108</f>
        <v>2413660.5299999998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8051.15</v>
      </c>
      <c r="S101">
        <f>'Formato 6 a)'!E109</f>
        <v>8051.15</v>
      </c>
      <c r="T101">
        <f>'Formato 6 a)'!F109</f>
        <v>8051.15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476487.97</v>
      </c>
      <c r="S103">
        <f>'Formato 6 a)'!E111</f>
        <v>476487.96</v>
      </c>
      <c r="T103">
        <f>'Formato 6 a)'!F111</f>
        <v>476487.96</v>
      </c>
      <c r="U103">
        <f>'Formato 6 a)'!G111</f>
        <v>9.9999999511055648E-3</v>
      </c>
    </row>
    <row r="104" spans="1:21" x14ac:dyDescent="0.2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30576</v>
      </c>
      <c r="S104">
        <f>'Formato 6 a)'!E112</f>
        <v>30576</v>
      </c>
      <c r="T104">
        <f>'Formato 6 a)'!F112</f>
        <v>30576</v>
      </c>
      <c r="U104">
        <f>'Formato 6 a)'!G112</f>
        <v>0</v>
      </c>
    </row>
    <row r="105" spans="1:21" x14ac:dyDescent="0.2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16350000</v>
      </c>
      <c r="S105">
        <f>'Formato 6 a)'!E113</f>
        <v>16350000</v>
      </c>
      <c r="T105">
        <f>'Formato 6 a)'!F113</f>
        <v>16350000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16350000</v>
      </c>
      <c r="S109">
        <f>'Formato 6 a)'!E117</f>
        <v>16350000</v>
      </c>
      <c r="T109">
        <f>'Formato 6 a)'!F117</f>
        <v>16350000</v>
      </c>
      <c r="U109">
        <f>'Formato 6 a)'!G117</f>
        <v>0</v>
      </c>
    </row>
    <row r="110" spans="1:21" x14ac:dyDescent="0.2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138132.18</v>
      </c>
      <c r="S115">
        <f>'Formato 6 a)'!E123</f>
        <v>138132.08000000002</v>
      </c>
      <c r="T115">
        <f>'Formato 6 a)'!F123</f>
        <v>138132.08000000002</v>
      </c>
      <c r="U115">
        <f>'Formato 6 a)'!G123</f>
        <v>9.9999999976716936E-2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16793.080000000002</v>
      </c>
      <c r="S116">
        <f>'Formato 6 a)'!E124</f>
        <v>16793.080000000002</v>
      </c>
      <c r="T116">
        <f>'Formato 6 a)'!F124</f>
        <v>16793.080000000002</v>
      </c>
      <c r="U116">
        <f>'Formato 6 a)'!G124</f>
        <v>0</v>
      </c>
    </row>
    <row r="117" spans="1:21" x14ac:dyDescent="0.2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48720</v>
      </c>
      <c r="S117">
        <f>'Formato 6 a)'!E125</f>
        <v>48720</v>
      </c>
      <c r="T117">
        <f>'Formato 6 a)'!F125</f>
        <v>48720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72619.100000000006</v>
      </c>
      <c r="S120">
        <f>'Formato 6 a)'!E128</f>
        <v>72619</v>
      </c>
      <c r="T120">
        <f>'Formato 6 a)'!F128</f>
        <v>72619</v>
      </c>
      <c r="U120">
        <f>'Formato 6 a)'!G128</f>
        <v>0.10000000000582077</v>
      </c>
    </row>
    <row r="121" spans="1:21" x14ac:dyDescent="0.2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82610246</v>
      </c>
      <c r="Q150">
        <f>'Formato 6 a)'!C159</f>
        <v>3297569.9999999991</v>
      </c>
      <c r="R150">
        <f>'Formato 6 a)'!D159</f>
        <v>107712816</v>
      </c>
      <c r="S150">
        <f>'Formato 6 a)'!E159</f>
        <v>97120217.640000001</v>
      </c>
      <c r="T150">
        <f>'Formato 6 a)'!F159</f>
        <v>102115627.71999998</v>
      </c>
      <c r="U150">
        <f>'Formato 6 a)'!G159</f>
        <v>10592598.360000001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87"/>
  <sheetViews>
    <sheetView showGridLines="0" zoomScale="90" zoomScaleNormal="90" workbookViewId="0">
      <selection activeCell="D68" sqref="D6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6" t="s">
        <v>3282</v>
      </c>
      <c r="B1" s="146"/>
      <c r="C1" s="146"/>
      <c r="D1" s="146"/>
      <c r="E1" s="146"/>
      <c r="F1" s="146"/>
      <c r="G1" s="146"/>
    </row>
    <row r="2" spans="1:7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1"/>
      <c r="G2" s="132"/>
    </row>
    <row r="3" spans="1:7" x14ac:dyDescent="0.25">
      <c r="A3" s="133" t="s">
        <v>277</v>
      </c>
      <c r="B3" s="134"/>
      <c r="C3" s="134"/>
      <c r="D3" s="134"/>
      <c r="E3" s="134"/>
      <c r="F3" s="134"/>
      <c r="G3" s="135"/>
    </row>
    <row r="4" spans="1:7" x14ac:dyDescent="0.25">
      <c r="A4" s="133" t="s">
        <v>431</v>
      </c>
      <c r="B4" s="134"/>
      <c r="C4" s="134"/>
      <c r="D4" s="134"/>
      <c r="E4" s="134"/>
      <c r="F4" s="134"/>
      <c r="G4" s="135"/>
    </row>
    <row r="5" spans="1:7" x14ac:dyDescent="0.25">
      <c r="A5" s="133" t="str">
        <f>TRIMESTRE</f>
        <v>Del 1 de enero al 31 de diciembre de 2018 (b)</v>
      </c>
      <c r="B5" s="134"/>
      <c r="C5" s="134"/>
      <c r="D5" s="134"/>
      <c r="E5" s="134"/>
      <c r="F5" s="134"/>
      <c r="G5" s="135"/>
    </row>
    <row r="6" spans="1:7" x14ac:dyDescent="0.25">
      <c r="A6" s="136" t="s">
        <v>118</v>
      </c>
      <c r="B6" s="137"/>
      <c r="C6" s="137"/>
      <c r="D6" s="137"/>
      <c r="E6" s="137"/>
      <c r="F6" s="137"/>
      <c r="G6" s="138"/>
    </row>
    <row r="7" spans="1:7" x14ac:dyDescent="0.25">
      <c r="A7" s="142" t="s">
        <v>0</v>
      </c>
      <c r="B7" s="144" t="s">
        <v>279</v>
      </c>
      <c r="C7" s="144"/>
      <c r="D7" s="144"/>
      <c r="E7" s="144"/>
      <c r="F7" s="144"/>
      <c r="G7" s="148" t="s">
        <v>280</v>
      </c>
    </row>
    <row r="8" spans="1:7" ht="30" x14ac:dyDescent="0.25">
      <c r="A8" s="143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7"/>
    </row>
    <row r="9" spans="1:7" x14ac:dyDescent="0.25">
      <c r="A9" s="44" t="s">
        <v>432</v>
      </c>
      <c r="B9" s="28">
        <f>SUM(B10:GASTO_NE_FIN_01)</f>
        <v>82610246.000000015</v>
      </c>
      <c r="C9" s="28">
        <f>SUM(C10:GASTO_NE_FIN_02)</f>
        <v>4299305.1800000006</v>
      </c>
      <c r="D9" s="28">
        <f>SUM(D10:GASTO_NE_FIN_03)</f>
        <v>86909551.180000007</v>
      </c>
      <c r="E9" s="28">
        <f>SUM(E10:GASTO_NE_FIN_04)</f>
        <v>75278798.979999989</v>
      </c>
      <c r="F9" s="28">
        <f>SUM(F10:GASTO_NE_FIN_05)</f>
        <v>35761820.420000009</v>
      </c>
      <c r="G9" s="28">
        <f>SUM(G10:GASTO_NE_FIN_06)</f>
        <v>11630752.200000001</v>
      </c>
    </row>
    <row r="10" spans="1:7" s="18" customFormat="1" x14ac:dyDescent="0.25">
      <c r="A10" s="117" t="s">
        <v>3294</v>
      </c>
      <c r="B10" s="50">
        <v>9276043</v>
      </c>
      <c r="C10" s="50">
        <f>D10-B10</f>
        <v>715105.40000000037</v>
      </c>
      <c r="D10" s="50">
        <v>9991148.4000000004</v>
      </c>
      <c r="E10" s="50">
        <v>9361602.8000000007</v>
      </c>
      <c r="F10" s="50">
        <v>4871857.5199999996</v>
      </c>
      <c r="G10" s="50">
        <f>D10-E10</f>
        <v>629545.59999999963</v>
      </c>
    </row>
    <row r="11" spans="1:7" s="18" customFormat="1" x14ac:dyDescent="0.25">
      <c r="A11" s="117" t="s">
        <v>3295</v>
      </c>
      <c r="B11" s="50">
        <v>511159</v>
      </c>
      <c r="C11" s="50">
        <f t="shared" ref="C11:C52" si="0">D11-B11</f>
        <v>3234</v>
      </c>
      <c r="D11" s="50">
        <v>514393</v>
      </c>
      <c r="E11" s="50">
        <v>427164.98</v>
      </c>
      <c r="F11" s="50">
        <v>263877.24</v>
      </c>
      <c r="G11" s="50">
        <f t="shared" ref="G11:G52" si="1">D11-E11</f>
        <v>87228.020000000019</v>
      </c>
    </row>
    <row r="12" spans="1:7" s="18" customFormat="1" x14ac:dyDescent="0.25">
      <c r="A12" s="117" t="s">
        <v>3296</v>
      </c>
      <c r="B12" s="50">
        <v>819789</v>
      </c>
      <c r="C12" s="50">
        <f t="shared" si="0"/>
        <v>0</v>
      </c>
      <c r="D12" s="50">
        <v>819789</v>
      </c>
      <c r="E12" s="50">
        <v>769080.81</v>
      </c>
      <c r="F12" s="50">
        <v>494981.28</v>
      </c>
      <c r="G12" s="50">
        <f t="shared" si="1"/>
        <v>50708.189999999944</v>
      </c>
    </row>
    <row r="13" spans="1:7" s="18" customFormat="1" x14ac:dyDescent="0.25">
      <c r="A13" s="117" t="s">
        <v>3297</v>
      </c>
      <c r="B13" s="50">
        <v>3109596</v>
      </c>
      <c r="C13" s="50">
        <f t="shared" si="0"/>
        <v>1127584.9699999997</v>
      </c>
      <c r="D13" s="50">
        <v>4237180.97</v>
      </c>
      <c r="E13" s="50">
        <v>4164959.36</v>
      </c>
      <c r="F13" s="50">
        <v>1813937.31</v>
      </c>
      <c r="G13" s="50">
        <f t="shared" si="1"/>
        <v>72221.60999999987</v>
      </c>
    </row>
    <row r="14" spans="1:7" s="18" customFormat="1" x14ac:dyDescent="0.25">
      <c r="A14" s="117" t="s">
        <v>3298</v>
      </c>
      <c r="B14" s="50">
        <v>1810411</v>
      </c>
      <c r="C14" s="50">
        <f t="shared" si="0"/>
        <v>-6486</v>
      </c>
      <c r="D14" s="50">
        <v>1803925</v>
      </c>
      <c r="E14" s="50">
        <v>1664245.84</v>
      </c>
      <c r="F14" s="50">
        <v>820067.42</v>
      </c>
      <c r="G14" s="50">
        <f t="shared" si="1"/>
        <v>139679.15999999992</v>
      </c>
    </row>
    <row r="15" spans="1:7" s="18" customFormat="1" x14ac:dyDescent="0.25">
      <c r="A15" s="117" t="s">
        <v>3300</v>
      </c>
      <c r="B15" s="50">
        <v>4415944</v>
      </c>
      <c r="C15" s="50">
        <f t="shared" si="0"/>
        <v>6486</v>
      </c>
      <c r="D15" s="50">
        <v>4422430</v>
      </c>
      <c r="E15" s="50">
        <v>3691335.8</v>
      </c>
      <c r="F15" s="50">
        <v>1882073.09</v>
      </c>
      <c r="G15" s="50">
        <f t="shared" si="1"/>
        <v>731094.20000000019</v>
      </c>
    </row>
    <row r="16" spans="1:7" s="18" customFormat="1" x14ac:dyDescent="0.25">
      <c r="A16" s="117" t="s">
        <v>3301</v>
      </c>
      <c r="B16" s="50">
        <v>1048150</v>
      </c>
      <c r="C16" s="50">
        <f t="shared" si="0"/>
        <v>138007</v>
      </c>
      <c r="D16" s="50">
        <v>1186157</v>
      </c>
      <c r="E16" s="50">
        <v>1085056.58</v>
      </c>
      <c r="F16" s="50">
        <v>477162.76</v>
      </c>
      <c r="G16" s="50">
        <f t="shared" si="1"/>
        <v>101100.41999999993</v>
      </c>
    </row>
    <row r="17" spans="1:7" s="18" customFormat="1" x14ac:dyDescent="0.25">
      <c r="A17" s="117" t="s">
        <v>3302</v>
      </c>
      <c r="B17" s="50">
        <v>700957</v>
      </c>
      <c r="C17" s="50">
        <f t="shared" si="0"/>
        <v>-2334.4799999999814</v>
      </c>
      <c r="D17" s="50">
        <v>698622.52</v>
      </c>
      <c r="E17" s="50">
        <v>404855.51</v>
      </c>
      <c r="F17" s="50">
        <v>201995.59</v>
      </c>
      <c r="G17" s="50">
        <f t="shared" si="1"/>
        <v>293767.01</v>
      </c>
    </row>
    <row r="18" spans="1:7" s="18" customFormat="1" x14ac:dyDescent="0.25">
      <c r="A18" s="117" t="s">
        <v>3303</v>
      </c>
      <c r="B18" s="50">
        <v>4830100</v>
      </c>
      <c r="C18" s="50">
        <f t="shared" si="0"/>
        <v>-19923.129999999888</v>
      </c>
      <c r="D18" s="50">
        <v>4810176.87</v>
      </c>
      <c r="E18" s="50">
        <v>4427984.6500000004</v>
      </c>
      <c r="F18" s="50">
        <v>2112557.91</v>
      </c>
      <c r="G18" s="50">
        <f t="shared" si="1"/>
        <v>382192.21999999974</v>
      </c>
    </row>
    <row r="19" spans="1:7" s="18" customFormat="1" x14ac:dyDescent="0.25">
      <c r="A19" s="117" t="s">
        <v>3340</v>
      </c>
      <c r="B19" s="50">
        <v>828133</v>
      </c>
      <c r="C19" s="50">
        <f t="shared" si="0"/>
        <v>61480</v>
      </c>
      <c r="D19" s="50">
        <v>889613</v>
      </c>
      <c r="E19" s="50">
        <v>835619.33</v>
      </c>
      <c r="F19" s="50">
        <v>433347.15</v>
      </c>
      <c r="G19" s="50">
        <f t="shared" si="1"/>
        <v>53993.670000000042</v>
      </c>
    </row>
    <row r="20" spans="1:7" s="18" customFormat="1" x14ac:dyDescent="0.25">
      <c r="A20" s="117" t="s">
        <v>3304</v>
      </c>
      <c r="B20" s="50">
        <v>1096476</v>
      </c>
      <c r="C20" s="50">
        <f t="shared" si="0"/>
        <v>-8093.8300000000745</v>
      </c>
      <c r="D20" s="50">
        <v>1088382.17</v>
      </c>
      <c r="E20" s="50">
        <v>1030982.89</v>
      </c>
      <c r="F20" s="50">
        <v>525771.26</v>
      </c>
      <c r="G20" s="50">
        <f t="shared" si="1"/>
        <v>57399.279999999912</v>
      </c>
    </row>
    <row r="21" spans="1:7" s="18" customFormat="1" x14ac:dyDescent="0.25">
      <c r="A21" s="117" t="s">
        <v>3305</v>
      </c>
      <c r="B21" s="50">
        <v>2373550</v>
      </c>
      <c r="C21" s="50">
        <f t="shared" si="0"/>
        <v>-20130</v>
      </c>
      <c r="D21" s="50">
        <v>2353420</v>
      </c>
      <c r="E21" s="50">
        <v>2210749.2200000002</v>
      </c>
      <c r="F21" s="50">
        <v>1116005.1399999999</v>
      </c>
      <c r="G21" s="50">
        <f t="shared" si="1"/>
        <v>142670.7799999998</v>
      </c>
    </row>
    <row r="22" spans="1:7" s="18" customFormat="1" x14ac:dyDescent="0.25">
      <c r="A22" s="117" t="s">
        <v>3306</v>
      </c>
      <c r="B22" s="50">
        <v>1537783.2</v>
      </c>
      <c r="C22" s="50">
        <f t="shared" si="0"/>
        <v>-41345.239999999991</v>
      </c>
      <c r="D22" s="50">
        <v>1496437.96</v>
      </c>
      <c r="E22" s="50">
        <v>1142141.56</v>
      </c>
      <c r="F22" s="50">
        <v>601501.81000000006</v>
      </c>
      <c r="G22" s="50">
        <f t="shared" si="1"/>
        <v>354296.39999999991</v>
      </c>
    </row>
    <row r="23" spans="1:7" s="18" customFormat="1" x14ac:dyDescent="0.25">
      <c r="A23" s="117" t="s">
        <v>3307</v>
      </c>
      <c r="B23" s="50">
        <v>345451.92</v>
      </c>
      <c r="C23" s="50">
        <f t="shared" si="0"/>
        <v>-9966.9199999999837</v>
      </c>
      <c r="D23" s="50">
        <v>335485</v>
      </c>
      <c r="E23" s="50">
        <v>305665.3</v>
      </c>
      <c r="F23" s="50">
        <v>141936.22</v>
      </c>
      <c r="G23" s="50">
        <f t="shared" si="1"/>
        <v>29819.700000000012</v>
      </c>
    </row>
    <row r="24" spans="1:7" s="18" customFormat="1" x14ac:dyDescent="0.25">
      <c r="A24" s="117" t="s">
        <v>3350</v>
      </c>
      <c r="B24" s="50">
        <v>1608934.5</v>
      </c>
      <c r="C24" s="50">
        <f t="shared" si="0"/>
        <v>1349434.4300000002</v>
      </c>
      <c r="D24" s="50">
        <v>2958368.93</v>
      </c>
      <c r="E24" s="50">
        <v>2727892.4</v>
      </c>
      <c r="F24" s="50">
        <v>933557.76000000001</v>
      </c>
      <c r="G24" s="50">
        <f t="shared" si="1"/>
        <v>230476.53000000026</v>
      </c>
    </row>
    <row r="25" spans="1:7" s="18" customFormat="1" x14ac:dyDescent="0.25">
      <c r="A25" s="117" t="s">
        <v>3308</v>
      </c>
      <c r="B25" s="50">
        <v>1217061.2</v>
      </c>
      <c r="C25" s="50">
        <f t="shared" si="0"/>
        <v>0</v>
      </c>
      <c r="D25" s="50">
        <v>1217061.2</v>
      </c>
      <c r="E25" s="50">
        <v>1136177.3</v>
      </c>
      <c r="F25" s="50">
        <v>550853.22</v>
      </c>
      <c r="G25" s="50">
        <f t="shared" si="1"/>
        <v>80883.899999999907</v>
      </c>
    </row>
    <row r="26" spans="1:7" s="18" customFormat="1" x14ac:dyDescent="0.25">
      <c r="A26" s="117" t="s">
        <v>3309</v>
      </c>
      <c r="B26" s="50">
        <v>1020200</v>
      </c>
      <c r="C26" s="50">
        <f t="shared" si="0"/>
        <v>77551.800000000047</v>
      </c>
      <c r="D26" s="50">
        <v>1097751.8</v>
      </c>
      <c r="E26" s="50">
        <v>1037887.33</v>
      </c>
      <c r="F26" s="50">
        <v>169561.14</v>
      </c>
      <c r="G26" s="50">
        <f t="shared" si="1"/>
        <v>59864.470000000088</v>
      </c>
    </row>
    <row r="27" spans="1:7" s="18" customFormat="1" x14ac:dyDescent="0.25">
      <c r="A27" s="117" t="s">
        <v>3310</v>
      </c>
      <c r="B27" s="50">
        <v>36915</v>
      </c>
      <c r="C27" s="50">
        <f t="shared" si="0"/>
        <v>-7909.2999999999993</v>
      </c>
      <c r="D27" s="50">
        <v>29005.7</v>
      </c>
      <c r="E27" s="50">
        <v>25752.18</v>
      </c>
      <c r="F27" s="50">
        <v>11057.07</v>
      </c>
      <c r="G27" s="50">
        <f t="shared" si="1"/>
        <v>3253.5200000000004</v>
      </c>
    </row>
    <row r="28" spans="1:7" s="18" customFormat="1" x14ac:dyDescent="0.25">
      <c r="A28" s="117" t="s">
        <v>3311</v>
      </c>
      <c r="B28" s="50">
        <v>345505</v>
      </c>
      <c r="C28" s="50">
        <f t="shared" si="0"/>
        <v>-6946</v>
      </c>
      <c r="D28" s="50">
        <v>338559</v>
      </c>
      <c r="E28" s="50">
        <v>300258.62</v>
      </c>
      <c r="F28" s="50">
        <v>134186.96</v>
      </c>
      <c r="G28" s="50">
        <f t="shared" si="1"/>
        <v>38300.380000000005</v>
      </c>
    </row>
    <row r="29" spans="1:7" s="18" customFormat="1" x14ac:dyDescent="0.25">
      <c r="A29" s="117" t="s">
        <v>3312</v>
      </c>
      <c r="B29" s="50">
        <v>411271</v>
      </c>
      <c r="C29" s="50">
        <f t="shared" si="0"/>
        <v>0</v>
      </c>
      <c r="D29" s="50">
        <v>411271</v>
      </c>
      <c r="E29" s="50">
        <v>383302.84</v>
      </c>
      <c r="F29" s="50">
        <v>199485.77</v>
      </c>
      <c r="G29" s="50">
        <f t="shared" si="1"/>
        <v>27968.159999999974</v>
      </c>
    </row>
    <row r="30" spans="1:7" s="18" customFormat="1" x14ac:dyDescent="0.25">
      <c r="A30" s="117" t="s">
        <v>3313</v>
      </c>
      <c r="B30" s="50">
        <v>1278096</v>
      </c>
      <c r="C30" s="50">
        <f t="shared" si="0"/>
        <v>-72496</v>
      </c>
      <c r="D30" s="50">
        <v>1205600</v>
      </c>
      <c r="E30" s="50">
        <v>859919.61</v>
      </c>
      <c r="F30" s="50">
        <v>432260.98</v>
      </c>
      <c r="G30" s="50">
        <f t="shared" si="1"/>
        <v>345680.39</v>
      </c>
    </row>
    <row r="31" spans="1:7" s="18" customFormat="1" x14ac:dyDescent="0.25">
      <c r="A31" s="117" t="s">
        <v>3314</v>
      </c>
      <c r="B31" s="50">
        <v>5685560</v>
      </c>
      <c r="C31" s="50">
        <f t="shared" si="0"/>
        <v>291042.78000000026</v>
      </c>
      <c r="D31" s="50">
        <v>5976602.7800000003</v>
      </c>
      <c r="E31" s="50">
        <v>5699246.1200000001</v>
      </c>
      <c r="F31" s="50">
        <v>2650039.34</v>
      </c>
      <c r="G31" s="50">
        <f t="shared" si="1"/>
        <v>277356.66000000015</v>
      </c>
    </row>
    <row r="32" spans="1:7" s="18" customFormat="1" x14ac:dyDescent="0.25">
      <c r="A32" s="117" t="s">
        <v>3315</v>
      </c>
      <c r="B32" s="50">
        <v>437035</v>
      </c>
      <c r="C32" s="50">
        <f t="shared" si="0"/>
        <v>42066</v>
      </c>
      <c r="D32" s="50">
        <v>479101</v>
      </c>
      <c r="E32" s="50">
        <v>441051.62</v>
      </c>
      <c r="F32" s="50">
        <v>184534.24</v>
      </c>
      <c r="G32" s="50">
        <f t="shared" si="1"/>
        <v>38049.380000000005</v>
      </c>
    </row>
    <row r="33" spans="1:7" s="18" customFormat="1" x14ac:dyDescent="0.25">
      <c r="A33" s="117" t="s">
        <v>3316</v>
      </c>
      <c r="B33" s="50">
        <v>1873616</v>
      </c>
      <c r="C33" s="50">
        <f t="shared" si="0"/>
        <v>2389</v>
      </c>
      <c r="D33" s="50">
        <v>1876005</v>
      </c>
      <c r="E33" s="50">
        <v>1773295.59</v>
      </c>
      <c r="F33" s="50">
        <v>832869.05</v>
      </c>
      <c r="G33" s="50">
        <f t="shared" si="1"/>
        <v>102709.40999999992</v>
      </c>
    </row>
    <row r="34" spans="1:7" s="18" customFormat="1" x14ac:dyDescent="0.25">
      <c r="A34" s="117" t="s">
        <v>3317</v>
      </c>
      <c r="B34" s="50">
        <v>200338</v>
      </c>
      <c r="C34" s="50">
        <f t="shared" si="0"/>
        <v>13718</v>
      </c>
      <c r="D34" s="50">
        <v>214056</v>
      </c>
      <c r="E34" s="50">
        <v>178105.9</v>
      </c>
      <c r="F34" s="50">
        <v>75036.320000000007</v>
      </c>
      <c r="G34" s="50">
        <f t="shared" si="1"/>
        <v>35950.100000000006</v>
      </c>
    </row>
    <row r="35" spans="1:7" s="18" customFormat="1" x14ac:dyDescent="0.25">
      <c r="A35" s="117" t="s">
        <v>3318</v>
      </c>
      <c r="B35" s="50">
        <v>120761</v>
      </c>
      <c r="C35" s="50">
        <f t="shared" si="0"/>
        <v>12908</v>
      </c>
      <c r="D35" s="50">
        <v>133669</v>
      </c>
      <c r="E35" s="50">
        <v>123905.08</v>
      </c>
      <c r="F35" s="50">
        <v>62981.51</v>
      </c>
      <c r="G35" s="50">
        <f t="shared" si="1"/>
        <v>9763.9199999999983</v>
      </c>
    </row>
    <row r="36" spans="1:7" s="18" customFormat="1" x14ac:dyDescent="0.25">
      <c r="A36" s="117" t="s">
        <v>3319</v>
      </c>
      <c r="B36" s="50">
        <v>86677</v>
      </c>
      <c r="C36" s="50">
        <f t="shared" si="0"/>
        <v>-4131</v>
      </c>
      <c r="D36" s="50">
        <v>82546</v>
      </c>
      <c r="E36" s="50">
        <v>58738.93</v>
      </c>
      <c r="F36" s="50">
        <v>29518.34</v>
      </c>
      <c r="G36" s="50">
        <f t="shared" si="1"/>
        <v>23807.07</v>
      </c>
    </row>
    <row r="37" spans="1:7" s="18" customFormat="1" x14ac:dyDescent="0.25">
      <c r="A37" s="117" t="s">
        <v>3320</v>
      </c>
      <c r="B37" s="50">
        <v>73459</v>
      </c>
      <c r="C37" s="50">
        <f t="shared" si="0"/>
        <v>0</v>
      </c>
      <c r="D37" s="50">
        <v>73459</v>
      </c>
      <c r="E37" s="50">
        <v>63058.19</v>
      </c>
      <c r="F37" s="50">
        <v>32330.78</v>
      </c>
      <c r="G37" s="50">
        <f t="shared" si="1"/>
        <v>10400.809999999998</v>
      </c>
    </row>
    <row r="38" spans="1:7" s="18" customFormat="1" x14ac:dyDescent="0.25">
      <c r="A38" s="117" t="s">
        <v>3321</v>
      </c>
      <c r="B38" s="50">
        <v>124426</v>
      </c>
      <c r="C38" s="50">
        <f t="shared" si="0"/>
        <v>0</v>
      </c>
      <c r="D38" s="50">
        <v>124426</v>
      </c>
      <c r="E38" s="50">
        <v>115337.74</v>
      </c>
      <c r="F38" s="50">
        <v>57664.41</v>
      </c>
      <c r="G38" s="50">
        <f t="shared" si="1"/>
        <v>9088.2599999999948</v>
      </c>
    </row>
    <row r="39" spans="1:7" s="18" customFormat="1" x14ac:dyDescent="0.25">
      <c r="A39" s="117" t="s">
        <v>3322</v>
      </c>
      <c r="B39" s="50">
        <v>272473</v>
      </c>
      <c r="C39" s="50">
        <f t="shared" si="0"/>
        <v>-23962.600000000006</v>
      </c>
      <c r="D39" s="50">
        <v>248510.4</v>
      </c>
      <c r="E39" s="50">
        <v>174273.6</v>
      </c>
      <c r="F39" s="50">
        <v>85011.8</v>
      </c>
      <c r="G39" s="50">
        <f t="shared" si="1"/>
        <v>74236.799999999988</v>
      </c>
    </row>
    <row r="40" spans="1:7" s="18" customFormat="1" x14ac:dyDescent="0.25">
      <c r="A40" s="117" t="s">
        <v>3323</v>
      </c>
      <c r="B40" s="50">
        <v>250473</v>
      </c>
      <c r="C40" s="50">
        <f t="shared" si="0"/>
        <v>-8213</v>
      </c>
      <c r="D40" s="50">
        <v>242260</v>
      </c>
      <c r="E40" s="50">
        <v>165912.42000000001</v>
      </c>
      <c r="F40" s="50">
        <v>69169.98</v>
      </c>
      <c r="G40" s="50">
        <f t="shared" si="1"/>
        <v>76347.579999999987</v>
      </c>
    </row>
    <row r="41" spans="1:7" s="18" customFormat="1" x14ac:dyDescent="0.25">
      <c r="A41" s="117" t="s">
        <v>3345</v>
      </c>
      <c r="B41" s="50">
        <v>0</v>
      </c>
      <c r="C41" s="50">
        <f t="shared" si="0"/>
        <v>102576.2</v>
      </c>
      <c r="D41" s="50">
        <v>102576.2</v>
      </c>
      <c r="E41" s="50">
        <v>98761.04</v>
      </c>
      <c r="F41" s="50">
        <v>24749.040000000001</v>
      </c>
      <c r="G41" s="50">
        <f t="shared" si="1"/>
        <v>3815.1600000000035</v>
      </c>
    </row>
    <row r="42" spans="1:7" s="18" customFormat="1" x14ac:dyDescent="0.25">
      <c r="A42" s="117" t="s">
        <v>3324</v>
      </c>
      <c r="B42" s="50">
        <v>1447662.2</v>
      </c>
      <c r="C42" s="50">
        <f t="shared" si="0"/>
        <v>-1948.4199999999255</v>
      </c>
      <c r="D42" s="50">
        <v>1445713.78</v>
      </c>
      <c r="E42" s="50">
        <v>1390409.68</v>
      </c>
      <c r="F42" s="50">
        <v>643923.38</v>
      </c>
      <c r="G42" s="50">
        <f t="shared" si="1"/>
        <v>55304.100000000093</v>
      </c>
    </row>
    <row r="43" spans="1:7" s="18" customFormat="1" x14ac:dyDescent="0.25">
      <c r="A43" s="117" t="s">
        <v>3325</v>
      </c>
      <c r="B43" s="50">
        <v>1768031</v>
      </c>
      <c r="C43" s="50">
        <f t="shared" si="0"/>
        <v>-7834.3200000000652</v>
      </c>
      <c r="D43" s="50">
        <v>1760196.68</v>
      </c>
      <c r="E43" s="50">
        <v>1645819.04</v>
      </c>
      <c r="F43" s="50">
        <v>822390.47</v>
      </c>
      <c r="G43" s="50">
        <f t="shared" si="1"/>
        <v>114377.6399999999</v>
      </c>
    </row>
    <row r="44" spans="1:7" s="18" customFormat="1" x14ac:dyDescent="0.25">
      <c r="A44" s="117" t="s">
        <v>3326</v>
      </c>
      <c r="B44" s="50">
        <v>4821071</v>
      </c>
      <c r="C44" s="50">
        <f t="shared" si="0"/>
        <v>179232.78000000026</v>
      </c>
      <c r="D44" s="50">
        <v>5000303.78</v>
      </c>
      <c r="E44" s="50">
        <v>4261893.8</v>
      </c>
      <c r="F44" s="50">
        <v>2020393.48</v>
      </c>
      <c r="G44" s="50">
        <f t="shared" si="1"/>
        <v>738409.98000000045</v>
      </c>
    </row>
    <row r="45" spans="1:7" s="18" customFormat="1" x14ac:dyDescent="0.25">
      <c r="A45" s="117" t="s">
        <v>3327</v>
      </c>
      <c r="B45" s="50">
        <v>13868439</v>
      </c>
      <c r="C45" s="50">
        <f t="shared" si="0"/>
        <v>-24577.210000000894</v>
      </c>
      <c r="D45" s="50">
        <v>13843861.789999999</v>
      </c>
      <c r="E45" s="50">
        <v>11517497.789999999</v>
      </c>
      <c r="F45" s="50">
        <v>5264320.34</v>
      </c>
      <c r="G45" s="50">
        <f t="shared" si="1"/>
        <v>2326364</v>
      </c>
    </row>
    <row r="46" spans="1:7" s="18" customFormat="1" x14ac:dyDescent="0.25">
      <c r="A46" s="117" t="s">
        <v>3328</v>
      </c>
      <c r="B46" s="50">
        <v>2575504</v>
      </c>
      <c r="C46" s="50">
        <f t="shared" si="0"/>
        <v>-256290.33999999985</v>
      </c>
      <c r="D46" s="50">
        <v>2319213.66</v>
      </c>
      <c r="E46" s="50">
        <v>1958195.75</v>
      </c>
      <c r="F46" s="50">
        <v>949768.71</v>
      </c>
      <c r="G46" s="50">
        <f t="shared" si="1"/>
        <v>361017.91000000015</v>
      </c>
    </row>
    <row r="47" spans="1:7" s="18" customFormat="1" x14ac:dyDescent="0.25">
      <c r="A47" s="117" t="s">
        <v>3329</v>
      </c>
      <c r="B47" s="50">
        <v>1704178</v>
      </c>
      <c r="C47" s="50">
        <f t="shared" si="0"/>
        <v>0</v>
      </c>
      <c r="D47" s="50">
        <v>1704178</v>
      </c>
      <c r="E47" s="50">
        <v>1446984.56</v>
      </c>
      <c r="F47" s="50">
        <v>715950.21</v>
      </c>
      <c r="G47" s="50">
        <f t="shared" si="1"/>
        <v>257193.43999999994</v>
      </c>
    </row>
    <row r="48" spans="1:7" s="18" customFormat="1" x14ac:dyDescent="0.25">
      <c r="A48" s="117" t="s">
        <v>3330</v>
      </c>
      <c r="B48" s="50">
        <v>2590457.7999999998</v>
      </c>
      <c r="C48" s="50">
        <f t="shared" si="0"/>
        <v>-4692.5</v>
      </c>
      <c r="D48" s="50">
        <v>2585765.2999999998</v>
      </c>
      <c r="E48" s="50">
        <v>1996562.99</v>
      </c>
      <c r="F48" s="50">
        <v>961388.55</v>
      </c>
      <c r="G48" s="50">
        <f t="shared" si="1"/>
        <v>589202.30999999982</v>
      </c>
    </row>
    <row r="49" spans="1:7" s="18" customFormat="1" x14ac:dyDescent="0.25">
      <c r="A49" s="117" t="s">
        <v>3331</v>
      </c>
      <c r="B49" s="50">
        <v>1966871</v>
      </c>
      <c r="C49" s="50">
        <f t="shared" si="0"/>
        <v>46000</v>
      </c>
      <c r="D49" s="50">
        <v>2012871</v>
      </c>
      <c r="E49" s="50">
        <v>1644374.3</v>
      </c>
      <c r="F49" s="50">
        <v>789536.95</v>
      </c>
      <c r="G49" s="50">
        <f t="shared" si="1"/>
        <v>368496.69999999995</v>
      </c>
    </row>
    <row r="50" spans="1:7" s="18" customFormat="1" x14ac:dyDescent="0.25">
      <c r="A50" s="117" t="s">
        <v>3332</v>
      </c>
      <c r="B50" s="50">
        <v>1287834</v>
      </c>
      <c r="C50" s="50">
        <f t="shared" si="0"/>
        <v>3009</v>
      </c>
      <c r="D50" s="50">
        <v>1290843</v>
      </c>
      <c r="E50" s="50">
        <v>959277.02</v>
      </c>
      <c r="F50" s="50">
        <v>472917.31</v>
      </c>
      <c r="G50" s="50">
        <f t="shared" si="1"/>
        <v>331565.98</v>
      </c>
    </row>
    <row r="51" spans="1:7" s="18" customFormat="1" x14ac:dyDescent="0.25">
      <c r="A51" s="117" t="s">
        <v>3333</v>
      </c>
      <c r="B51" s="50">
        <v>867503</v>
      </c>
      <c r="C51" s="50">
        <f t="shared" si="0"/>
        <v>736873.1100000001</v>
      </c>
      <c r="D51" s="50">
        <v>1604376.11</v>
      </c>
      <c r="E51" s="50">
        <v>1058384.79</v>
      </c>
      <c r="F51" s="50">
        <v>314213.49</v>
      </c>
      <c r="G51" s="50">
        <f t="shared" si="1"/>
        <v>545991.32000000007</v>
      </c>
    </row>
    <row r="52" spans="1:7" s="18" customFormat="1" x14ac:dyDescent="0.25">
      <c r="A52" s="117" t="s">
        <v>3334</v>
      </c>
      <c r="B52" s="50">
        <v>1966351.18</v>
      </c>
      <c r="C52" s="50">
        <f t="shared" si="0"/>
        <v>-82113</v>
      </c>
      <c r="D52" s="50">
        <v>1884238.18</v>
      </c>
      <c r="E52" s="50">
        <v>515078.12</v>
      </c>
      <c r="F52" s="50">
        <v>515078.12</v>
      </c>
      <c r="G52" s="50">
        <f t="shared" si="1"/>
        <v>1369160.06</v>
      </c>
    </row>
    <row r="53" spans="1:7" x14ac:dyDescent="0.25">
      <c r="A53" s="64" t="s">
        <v>678</v>
      </c>
      <c r="B53" s="46"/>
      <c r="C53" s="46"/>
      <c r="D53" s="46"/>
      <c r="E53" s="46"/>
      <c r="F53" s="46"/>
      <c r="G53" s="46"/>
    </row>
    <row r="54" spans="1:7" s="18" customFormat="1" x14ac:dyDescent="0.25">
      <c r="A54" s="47" t="s">
        <v>433</v>
      </c>
      <c r="B54" s="51">
        <f>SUM(B55:GASTO_E_FIN_01)</f>
        <v>0</v>
      </c>
      <c r="C54" s="51">
        <f>SUM(C55:GASTO_E_FIN_02)</f>
        <v>11253475</v>
      </c>
      <c r="D54" s="51">
        <f>SUM(D55:GASTO_E_FIN_03)</f>
        <v>21805000</v>
      </c>
      <c r="E54" s="51">
        <f>SUM(E55:GASTO_E_FIN_04)</f>
        <v>21673971.550000001</v>
      </c>
      <c r="F54" s="51">
        <f>SUM(F55:GASTO_E_FIN_05)</f>
        <v>7641742.7400000002</v>
      </c>
      <c r="G54" s="51">
        <f>SUM(G55:GASTO_E_FIN_06)</f>
        <v>28.450000000113505</v>
      </c>
    </row>
    <row r="55" spans="1:7" s="18" customFormat="1" x14ac:dyDescent="0.25">
      <c r="A55" s="117" t="s">
        <v>3299</v>
      </c>
      <c r="B55" s="50">
        <v>0</v>
      </c>
      <c r="C55" s="50">
        <v>1470000</v>
      </c>
      <c r="D55" s="50">
        <v>3450000</v>
      </c>
      <c r="E55" s="50">
        <v>3450000</v>
      </c>
      <c r="F55" s="50">
        <v>1381300</v>
      </c>
      <c r="G55" s="50">
        <f>D55-E55</f>
        <v>0</v>
      </c>
    </row>
    <row r="56" spans="1:7" s="18" customFormat="1" x14ac:dyDescent="0.25">
      <c r="A56" s="117" t="s">
        <v>3336</v>
      </c>
      <c r="B56" s="50">
        <v>0</v>
      </c>
      <c r="C56" s="50">
        <v>1500000</v>
      </c>
      <c r="D56" s="50">
        <v>4150000</v>
      </c>
      <c r="E56" s="50">
        <v>4150000</v>
      </c>
      <c r="F56" s="50">
        <v>1500000</v>
      </c>
      <c r="G56" s="50">
        <f t="shared" ref="G56:G65" si="2">D56-E56</f>
        <v>0</v>
      </c>
    </row>
    <row r="57" spans="1:7" s="18" customFormat="1" x14ac:dyDescent="0.25">
      <c r="A57" s="117" t="s">
        <v>3337</v>
      </c>
      <c r="B57" s="50">
        <v>0</v>
      </c>
      <c r="C57" s="50">
        <v>3754475</v>
      </c>
      <c r="D57" s="50">
        <v>7773000</v>
      </c>
      <c r="E57" s="50">
        <v>7773000</v>
      </c>
      <c r="F57" s="50">
        <v>3754475</v>
      </c>
      <c r="G57" s="50">
        <f t="shared" si="2"/>
        <v>0</v>
      </c>
    </row>
    <row r="58" spans="1:7" s="18" customFormat="1" x14ac:dyDescent="0.25">
      <c r="A58" s="117" t="s">
        <v>3338</v>
      </c>
      <c r="B58" s="50">
        <v>0</v>
      </c>
      <c r="C58" s="50">
        <v>305000</v>
      </c>
      <c r="D58" s="50">
        <v>977000</v>
      </c>
      <c r="E58" s="50">
        <v>977000</v>
      </c>
      <c r="F58" s="50">
        <v>305000</v>
      </c>
      <c r="G58" s="50">
        <f t="shared" si="2"/>
        <v>0</v>
      </c>
    </row>
    <row r="59" spans="1:7" s="18" customFormat="1" x14ac:dyDescent="0.25">
      <c r="A59" s="117" t="s">
        <v>3339</v>
      </c>
      <c r="B59" s="50">
        <v>0</v>
      </c>
      <c r="C59" s="50">
        <v>300000</v>
      </c>
      <c r="D59" s="50">
        <v>400000</v>
      </c>
      <c r="E59" s="50">
        <v>400000.01</v>
      </c>
      <c r="F59" s="50">
        <v>149927.28</v>
      </c>
      <c r="G59" s="50">
        <f t="shared" si="2"/>
        <v>-1.0000000009313226E-2</v>
      </c>
    </row>
    <row r="60" spans="1:7" s="18" customFormat="1" x14ac:dyDescent="0.25">
      <c r="A60" s="117" t="s">
        <v>3341</v>
      </c>
      <c r="B60" s="50">
        <v>0</v>
      </c>
      <c r="C60" s="50">
        <v>500000</v>
      </c>
      <c r="D60" s="50">
        <v>500000</v>
      </c>
      <c r="E60" s="50">
        <v>499999.99</v>
      </c>
      <c r="F60" s="50">
        <v>367266.01</v>
      </c>
      <c r="G60" s="50">
        <f t="shared" si="2"/>
        <v>1.0000000009313226E-2</v>
      </c>
    </row>
    <row r="61" spans="1:7" s="18" customFormat="1" x14ac:dyDescent="0.25">
      <c r="A61" s="117" t="s">
        <v>3342</v>
      </c>
      <c r="B61" s="50">
        <v>0</v>
      </c>
      <c r="C61" s="50">
        <v>100000</v>
      </c>
      <c r="D61" s="50">
        <v>100000</v>
      </c>
      <c r="E61" s="50">
        <v>99993.26</v>
      </c>
      <c r="F61" s="50">
        <v>0</v>
      </c>
      <c r="G61" s="50">
        <f t="shared" si="2"/>
        <v>6.7400000000052387</v>
      </c>
    </row>
    <row r="62" spans="1:7" s="18" customFormat="1" x14ac:dyDescent="0.25">
      <c r="A62" s="117" t="s">
        <v>3343</v>
      </c>
      <c r="B62" s="50">
        <v>0</v>
      </c>
      <c r="C62" s="50">
        <v>1000000</v>
      </c>
      <c r="D62" s="50">
        <v>1000000</v>
      </c>
      <c r="E62" s="50">
        <v>1000000</v>
      </c>
      <c r="F62" s="50">
        <v>23576</v>
      </c>
      <c r="G62" s="50">
        <f t="shared" si="2"/>
        <v>0</v>
      </c>
    </row>
    <row r="63" spans="1:7" s="18" customFormat="1" x14ac:dyDescent="0.25">
      <c r="A63" s="117" t="s">
        <v>3344</v>
      </c>
      <c r="B63" s="50">
        <v>0</v>
      </c>
      <c r="C63" s="50">
        <v>114000</v>
      </c>
      <c r="D63" s="50">
        <v>114000</v>
      </c>
      <c r="E63" s="50">
        <v>113979.9</v>
      </c>
      <c r="F63" s="50">
        <v>0</v>
      </c>
      <c r="G63" s="50">
        <f t="shared" si="2"/>
        <v>20.100000000005821</v>
      </c>
    </row>
    <row r="64" spans="1:7" s="18" customFormat="1" x14ac:dyDescent="0.25">
      <c r="A64" s="117" t="s">
        <v>3346</v>
      </c>
      <c r="B64" s="50">
        <v>0</v>
      </c>
      <c r="C64" s="50">
        <v>500000</v>
      </c>
      <c r="D64" s="50">
        <v>1500000</v>
      </c>
      <c r="E64" s="50">
        <v>1499998.39</v>
      </c>
      <c r="F64" s="50">
        <v>160198.45000000001</v>
      </c>
      <c r="G64" s="50">
        <f t="shared" si="2"/>
        <v>1.6100000001024455</v>
      </c>
    </row>
    <row r="65" spans="1:7" s="18" customFormat="1" x14ac:dyDescent="0.25">
      <c r="A65" s="117" t="s">
        <v>3347</v>
      </c>
      <c r="B65" s="50">
        <v>0</v>
      </c>
      <c r="C65" s="50">
        <v>1710000</v>
      </c>
      <c r="D65" s="50">
        <v>1710000</v>
      </c>
      <c r="E65" s="50">
        <v>1710000</v>
      </c>
      <c r="F65" s="50">
        <v>0</v>
      </c>
      <c r="G65" s="50">
        <f t="shared" si="2"/>
        <v>0</v>
      </c>
    </row>
    <row r="66" spans="1:7" s="18" customFormat="1" x14ac:dyDescent="0.25">
      <c r="A66" s="117" t="s">
        <v>3351</v>
      </c>
      <c r="B66" s="50"/>
      <c r="C66" s="50"/>
      <c r="D66" s="50">
        <v>131000</v>
      </c>
      <c r="E66" s="50">
        <v>0</v>
      </c>
      <c r="F66" s="50"/>
      <c r="G66" s="50"/>
    </row>
    <row r="67" spans="1:7" x14ac:dyDescent="0.25">
      <c r="A67" s="64" t="s">
        <v>678</v>
      </c>
      <c r="B67" s="46"/>
      <c r="C67" s="46"/>
      <c r="D67" s="46"/>
      <c r="E67" s="46"/>
      <c r="F67" s="46"/>
      <c r="G67" s="46"/>
    </row>
    <row r="68" spans="1:7" x14ac:dyDescent="0.25">
      <c r="A68" s="47" t="s">
        <v>360</v>
      </c>
      <c r="B68" s="51">
        <f>GASTO_NE_T1+GASTO_E_T1</f>
        <v>82610246.000000015</v>
      </c>
      <c r="C68" s="51">
        <f>GASTO_NE_T2+GASTO_E_T2</f>
        <v>15552780.18</v>
      </c>
      <c r="D68" s="51">
        <f>GASTO_NE_T3+GASTO_E_T3</f>
        <v>108714551.18000001</v>
      </c>
      <c r="E68" s="51">
        <f>GASTO_NE_T4+GASTO_E_T4</f>
        <v>96952770.529999986</v>
      </c>
      <c r="F68" s="51">
        <f>GASTO_NE_T5+GASTO_E_T5</f>
        <v>43403563.160000011</v>
      </c>
      <c r="G68" s="51">
        <f>GASTO_NE_T6+GASTO_E_T6</f>
        <v>11630780.65</v>
      </c>
    </row>
    <row r="69" spans="1:7" x14ac:dyDescent="0.25">
      <c r="A69" s="49"/>
      <c r="B69" s="49"/>
      <c r="C69" s="49"/>
      <c r="D69" s="49"/>
      <c r="E69" s="49"/>
      <c r="F69" s="49"/>
      <c r="G69" s="49"/>
    </row>
    <row r="70" spans="1:7" hidden="1" x14ac:dyDescent="0.25"/>
    <row r="71" spans="1:7" x14ac:dyDescent="0.25"/>
    <row r="72" spans="1:7" x14ac:dyDescent="0.25"/>
    <row r="73" spans="1:7" x14ac:dyDescent="0.25"/>
    <row r="74" spans="1:7" x14ac:dyDescent="0.25"/>
    <row r="75" spans="1:7" x14ac:dyDescent="0.25"/>
    <row r="76" spans="1:7" x14ac:dyDescent="0.25"/>
    <row r="77" spans="1:7" x14ac:dyDescent="0.25"/>
    <row r="78" spans="1:7" x14ac:dyDescent="0.25"/>
    <row r="79" spans="1:7" x14ac:dyDescent="0.25"/>
    <row r="80" spans="1: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68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3">
        <f>GASTO_NE_T1</f>
        <v>82610246.000000015</v>
      </c>
      <c r="Q2" s="13">
        <f>GASTO_NE_T2</f>
        <v>4299305.1800000006</v>
      </c>
      <c r="R2" s="13">
        <f>GASTO_NE_T3</f>
        <v>86909551.180000007</v>
      </c>
      <c r="S2" s="13">
        <f>GASTO_NE_T4</f>
        <v>75278798.979999989</v>
      </c>
      <c r="T2" s="13">
        <f>GASTO_NE_T5</f>
        <v>35761820.420000009</v>
      </c>
      <c r="U2" s="13">
        <f>GASTO_NE_T6</f>
        <v>11630752.200000001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3">
        <f>GASTO_E_T1</f>
        <v>0</v>
      </c>
      <c r="Q3" s="13">
        <f>GASTO_E_T2</f>
        <v>11253475</v>
      </c>
      <c r="R3" s="13">
        <f>GASTO_E_T3</f>
        <v>21805000</v>
      </c>
      <c r="S3" s="13">
        <f>GASTO_E_T4</f>
        <v>21673971.550000001</v>
      </c>
      <c r="T3" s="13">
        <f>GASTO_E_T5</f>
        <v>7641742.7400000002</v>
      </c>
      <c r="U3" s="13">
        <f>GASTO_E_T6</f>
        <v>28.450000000113505</v>
      </c>
      <c r="V3" s="13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3">
        <f>TOTAL_E_T1</f>
        <v>82610246.000000015</v>
      </c>
      <c r="Q4" s="13">
        <f>TOTAL_E_T2</f>
        <v>15552780.18</v>
      </c>
      <c r="R4" s="13">
        <f>TOTAL_E_T3</f>
        <v>108714551.18000001</v>
      </c>
      <c r="S4" s="13">
        <f>TOTAL_E_T4</f>
        <v>96952770.529999986</v>
      </c>
      <c r="T4" s="13">
        <f>TOTAL_E_T5</f>
        <v>43403563.160000011</v>
      </c>
      <c r="U4" s="13">
        <f>TOTAL_E_T6</f>
        <v>11630780.65</v>
      </c>
      <c r="V4" s="13"/>
    </row>
    <row r="5" spans="1:25" x14ac:dyDescent="0.25">
      <c r="P5" s="13"/>
      <c r="Q5" s="13"/>
      <c r="R5" s="13"/>
      <c r="S5" s="13"/>
      <c r="T5" s="13"/>
      <c r="U5" s="13"/>
      <c r="V5" s="13"/>
    </row>
    <row r="6" spans="1:25" x14ac:dyDescent="0.25">
      <c r="P6" s="13"/>
      <c r="Q6" s="13"/>
      <c r="R6" s="13"/>
      <c r="S6" s="13"/>
      <c r="T6" s="13"/>
      <c r="U6" s="13"/>
      <c r="V6" s="13"/>
    </row>
    <row r="7" spans="1:25" x14ac:dyDescent="0.2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P8" s="13"/>
      <c r="Q8" s="13"/>
      <c r="R8" s="13"/>
      <c r="S8" s="13"/>
      <c r="T8" s="13"/>
      <c r="U8" s="13"/>
    </row>
    <row r="9" spans="1:25" x14ac:dyDescent="0.25">
      <c r="P9" s="13"/>
      <c r="Q9" s="13"/>
      <c r="R9" s="13"/>
      <c r="S9" s="13"/>
      <c r="T9" s="13"/>
      <c r="U9" s="13"/>
    </row>
    <row r="10" spans="1:25" x14ac:dyDescent="0.25">
      <c r="P10" s="13"/>
      <c r="Q10" s="13"/>
      <c r="R10" s="13"/>
      <c r="S10" s="13"/>
      <c r="T10" s="13"/>
      <c r="U10" s="13"/>
    </row>
    <row r="11" spans="1:25" x14ac:dyDescent="0.25">
      <c r="P11" s="13"/>
      <c r="Q11" s="13"/>
      <c r="R11" s="13"/>
      <c r="S11" s="13"/>
      <c r="T11" s="13"/>
      <c r="U11" s="13"/>
    </row>
    <row r="12" spans="1:25" x14ac:dyDescent="0.25">
      <c r="P12" s="13"/>
      <c r="Q12" s="13"/>
      <c r="R12" s="13"/>
      <c r="S12" s="13"/>
      <c r="T12" s="13"/>
      <c r="U12" s="13"/>
    </row>
    <row r="13" spans="1:25" x14ac:dyDescent="0.25">
      <c r="P13" s="13"/>
      <c r="Q13" s="13"/>
      <c r="R13" s="13"/>
      <c r="S13" s="13"/>
      <c r="T13" s="13"/>
      <c r="U13" s="13"/>
    </row>
    <row r="14" spans="1:25" x14ac:dyDescent="0.25">
      <c r="P14" s="13"/>
      <c r="Q14" s="13"/>
      <c r="R14" s="13"/>
      <c r="S14" s="13"/>
      <c r="T14" s="13"/>
      <c r="U14" s="13"/>
    </row>
    <row r="15" spans="1:25" x14ac:dyDescent="0.25">
      <c r="P15" s="13"/>
      <c r="Q15" s="13"/>
      <c r="R15" s="13"/>
      <c r="S15" s="13"/>
      <c r="T15" s="13"/>
      <c r="U15" s="13"/>
    </row>
    <row r="16" spans="1:25" x14ac:dyDescent="0.25">
      <c r="P16" s="13"/>
      <c r="Q16" s="13"/>
      <c r="R16" s="13"/>
      <c r="S16" s="13"/>
      <c r="T16" s="13"/>
      <c r="U16" s="13"/>
    </row>
    <row r="17" spans="16:21" x14ac:dyDescent="0.2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zoomScale="90" zoomScaleNormal="90" workbookViewId="0">
      <selection activeCell="D15" sqref="D1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0" t="s">
        <v>3281</v>
      </c>
      <c r="B1" s="151"/>
      <c r="C1" s="151"/>
      <c r="D1" s="151"/>
      <c r="E1" s="151"/>
      <c r="F1" s="151"/>
      <c r="G1" s="151"/>
    </row>
    <row r="2" spans="1:7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1"/>
      <c r="G2" s="132"/>
    </row>
    <row r="3" spans="1:7" x14ac:dyDescent="0.25">
      <c r="A3" s="133" t="s">
        <v>396</v>
      </c>
      <c r="B3" s="134"/>
      <c r="C3" s="134"/>
      <c r="D3" s="134"/>
      <c r="E3" s="134"/>
      <c r="F3" s="134"/>
      <c r="G3" s="135"/>
    </row>
    <row r="4" spans="1:7" x14ac:dyDescent="0.25">
      <c r="A4" s="133" t="s">
        <v>397</v>
      </c>
      <c r="B4" s="134"/>
      <c r="C4" s="134"/>
      <c r="D4" s="134"/>
      <c r="E4" s="134"/>
      <c r="F4" s="134"/>
      <c r="G4" s="135"/>
    </row>
    <row r="5" spans="1:7" x14ac:dyDescent="0.25">
      <c r="A5" s="133" t="str">
        <f>TRIMESTRE</f>
        <v>Del 1 de enero al 31 de diciembre de 2018 (b)</v>
      </c>
      <c r="B5" s="134"/>
      <c r="C5" s="134"/>
      <c r="D5" s="134"/>
      <c r="E5" s="134"/>
      <c r="F5" s="134"/>
      <c r="G5" s="135"/>
    </row>
    <row r="6" spans="1:7" x14ac:dyDescent="0.25">
      <c r="A6" s="136" t="s">
        <v>118</v>
      </c>
      <c r="B6" s="137"/>
      <c r="C6" s="137"/>
      <c r="D6" s="137"/>
      <c r="E6" s="137"/>
      <c r="F6" s="137"/>
      <c r="G6" s="138"/>
    </row>
    <row r="7" spans="1:7" x14ac:dyDescent="0.25">
      <c r="A7" s="134" t="s">
        <v>0</v>
      </c>
      <c r="B7" s="136" t="s">
        <v>279</v>
      </c>
      <c r="C7" s="137"/>
      <c r="D7" s="137"/>
      <c r="E7" s="137"/>
      <c r="F7" s="138"/>
      <c r="G7" s="148" t="s">
        <v>3278</v>
      </c>
    </row>
    <row r="8" spans="1:7" ht="30.75" customHeight="1" x14ac:dyDescent="0.25">
      <c r="A8" s="134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7"/>
    </row>
    <row r="9" spans="1:7" x14ac:dyDescent="0.25">
      <c r="A9" s="44" t="s">
        <v>363</v>
      </c>
      <c r="B9" s="59">
        <f>SUM(B10,B19,B27,B37)</f>
        <v>82610246</v>
      </c>
      <c r="C9" s="59">
        <f t="shared" ref="C9:G9" si="0">SUM(C10,C19,C27,C37)</f>
        <v>25102570</v>
      </c>
      <c r="D9" s="59">
        <f t="shared" si="0"/>
        <v>107712816</v>
      </c>
      <c r="E9" s="59">
        <f t="shared" si="0"/>
        <v>97120217.640000001</v>
      </c>
      <c r="F9" s="59">
        <f t="shared" si="0"/>
        <v>85693008.719999999</v>
      </c>
      <c r="G9" s="59">
        <f t="shared" si="0"/>
        <v>10592598.359999999</v>
      </c>
    </row>
    <row r="10" spans="1:7" x14ac:dyDescent="0.2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x14ac:dyDescent="0.2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x14ac:dyDescent="0.25">
      <c r="A14" s="53" t="s">
        <v>368</v>
      </c>
      <c r="B14" s="60"/>
      <c r="C14" s="60"/>
      <c r="D14" s="60"/>
      <c r="E14" s="60"/>
      <c r="F14" s="60"/>
      <c r="G14" s="60"/>
    </row>
    <row r="15" spans="1:7" x14ac:dyDescent="0.25">
      <c r="A15" s="53" t="s">
        <v>369</v>
      </c>
      <c r="B15" s="60"/>
      <c r="C15" s="60"/>
      <c r="D15" s="60"/>
      <c r="E15" s="60"/>
      <c r="F15" s="60"/>
      <c r="G15" s="60"/>
    </row>
    <row r="16" spans="1:7" x14ac:dyDescent="0.2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x14ac:dyDescent="0.2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82610246</v>
      </c>
      <c r="C19" s="60">
        <f t="shared" ref="C19:F19" si="2">SUM(C20:C26)</f>
        <v>25102570</v>
      </c>
      <c r="D19" s="60">
        <f t="shared" si="2"/>
        <v>107712816</v>
      </c>
      <c r="E19" s="60">
        <f t="shared" si="2"/>
        <v>97120217.640000001</v>
      </c>
      <c r="F19" s="60">
        <f t="shared" si="2"/>
        <v>85693008.719999999</v>
      </c>
      <c r="G19" s="60">
        <f>SUM(G20:G26)</f>
        <v>10592598.359999999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60"/>
      <c r="C21" s="60"/>
      <c r="D21" s="60"/>
      <c r="E21" s="60"/>
      <c r="F21" s="60"/>
      <c r="G21" s="60">
        <f t="shared" ref="G21:G26" si="3">D21-E21</f>
        <v>0</v>
      </c>
    </row>
    <row r="22" spans="1:7" x14ac:dyDescent="0.25">
      <c r="A22" s="53" t="s">
        <v>376</v>
      </c>
      <c r="B22" s="60"/>
      <c r="C22" s="60"/>
      <c r="D22" s="60"/>
      <c r="E22" s="60"/>
      <c r="F22" s="60"/>
      <c r="G22" s="60">
        <f t="shared" si="3"/>
        <v>0</v>
      </c>
    </row>
    <row r="23" spans="1:7" x14ac:dyDescent="0.25">
      <c r="A23" s="53" t="s">
        <v>377</v>
      </c>
      <c r="B23" s="60">
        <v>82610246</v>
      </c>
      <c r="C23" s="60">
        <f>D23-B23</f>
        <v>25102570</v>
      </c>
      <c r="D23" s="60">
        <v>107712816</v>
      </c>
      <c r="E23" s="60">
        <v>97120217.640000001</v>
      </c>
      <c r="F23" s="60">
        <v>85693008.719999999</v>
      </c>
      <c r="G23" s="60">
        <v>10592598.359999999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53" t="s">
        <v>379</v>
      </c>
      <c r="B25" s="60"/>
      <c r="C25" s="60"/>
      <c r="D25" s="60"/>
      <c r="E25" s="60"/>
      <c r="F25" s="60"/>
      <c r="G25" s="60">
        <f t="shared" si="3"/>
        <v>0</v>
      </c>
    </row>
    <row r="26" spans="1:7" x14ac:dyDescent="0.25">
      <c r="A26" s="53" t="s">
        <v>380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45" t="s">
        <v>381</v>
      </c>
      <c r="B27" s="60"/>
      <c r="C27" s="60"/>
      <c r="D27" s="60"/>
      <c r="E27" s="60"/>
      <c r="F27" s="60"/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4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4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4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4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4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4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4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4"/>
        <v>0</v>
      </c>
    </row>
    <row r="37" spans="1:7" ht="30" x14ac:dyDescent="0.25">
      <c r="A37" s="54" t="s">
        <v>398</v>
      </c>
      <c r="B37" s="60"/>
      <c r="C37" s="60"/>
      <c r="D37" s="60"/>
      <c r="E37" s="60"/>
      <c r="F37" s="60"/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5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5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5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6">SUM(C44,C53,C61,C71)</f>
        <v>0</v>
      </c>
      <c r="D43" s="61">
        <f t="shared" si="6"/>
        <v>0</v>
      </c>
      <c r="E43" s="61">
        <f t="shared" si="6"/>
        <v>0</v>
      </c>
      <c r="F43" s="61">
        <f t="shared" si="6"/>
        <v>0</v>
      </c>
      <c r="G43" s="61">
        <f t="shared" si="6"/>
        <v>0</v>
      </c>
    </row>
    <row r="44" spans="1:7" x14ac:dyDescent="0.25">
      <c r="A44" s="45" t="s">
        <v>430</v>
      </c>
      <c r="B44" s="60"/>
      <c r="C44" s="60"/>
      <c r="D44" s="60"/>
      <c r="E44" s="60"/>
      <c r="F44" s="60"/>
      <c r="G44" s="60">
        <f t="shared" ref="G44" si="7">SUM(G45:G52)</f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8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8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8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45" t="s">
        <v>373</v>
      </c>
      <c r="B53" s="60"/>
      <c r="C53" s="60"/>
      <c r="D53" s="60"/>
      <c r="E53" s="60"/>
      <c r="F53" s="60"/>
      <c r="G53" s="60">
        <f t="shared" ref="G53" si="9">SUM(G54:G60)</f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0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0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0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0"/>
        <v>0</v>
      </c>
    </row>
    <row r="61" spans="1:7" x14ac:dyDescent="0.25">
      <c r="A61" s="45" t="s">
        <v>381</v>
      </c>
      <c r="B61" s="60"/>
      <c r="C61" s="60"/>
      <c r="D61" s="60"/>
      <c r="E61" s="60"/>
      <c r="F61" s="60"/>
      <c r="G61" s="60">
        <f t="shared" ref="G61" si="11">SUM(G62:G70)</f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2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2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2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2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2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2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2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2"/>
        <v>0</v>
      </c>
    </row>
    <row r="71" spans="1:7" x14ac:dyDescent="0.25">
      <c r="A71" s="54" t="s">
        <v>3291</v>
      </c>
      <c r="B71" s="62"/>
      <c r="C71" s="62"/>
      <c r="D71" s="62"/>
      <c r="E71" s="62"/>
      <c r="F71" s="62"/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3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3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3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82610246</v>
      </c>
      <c r="C77" s="61">
        <f t="shared" ref="C77:F77" si="14">C43+C9</f>
        <v>25102570</v>
      </c>
      <c r="D77" s="61">
        <f t="shared" si="14"/>
        <v>107712816</v>
      </c>
      <c r="E77" s="61">
        <f t="shared" si="14"/>
        <v>97120217.640000001</v>
      </c>
      <c r="F77" s="61">
        <f t="shared" si="14"/>
        <v>85693008.719999999</v>
      </c>
      <c r="G77" s="61">
        <f>G43+G9</f>
        <v>10592598.359999999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3">
        <f>'Formato 6 c)'!B9</f>
        <v>82610246</v>
      </c>
      <c r="Q2" s="13">
        <f>'Formato 6 c)'!C9</f>
        <v>25102570</v>
      </c>
      <c r="R2" s="13">
        <f>'Formato 6 c)'!D9</f>
        <v>107712816</v>
      </c>
      <c r="S2" s="13">
        <f>'Formato 6 c)'!E9</f>
        <v>97120217.640000001</v>
      </c>
      <c r="T2" s="13">
        <f>'Formato 6 c)'!F9</f>
        <v>85693008.719999999</v>
      </c>
      <c r="U2" s="13">
        <f>'Formato 6 c)'!G9</f>
        <v>10592598.359999999</v>
      </c>
    </row>
    <row r="3" spans="1:25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x14ac:dyDescent="0.2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x14ac:dyDescent="0.2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x14ac:dyDescent="0.2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x14ac:dyDescent="0.2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x14ac:dyDescent="0.2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x14ac:dyDescent="0.2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P12" s="13">
        <f>'Formato 6 c)'!B19</f>
        <v>82610246</v>
      </c>
      <c r="Q12" s="13">
        <f>'Formato 6 c)'!C19</f>
        <v>25102570</v>
      </c>
      <c r="R12" s="13">
        <f>'Formato 6 c)'!D19</f>
        <v>107712816</v>
      </c>
      <c r="S12" s="13">
        <f>'Formato 6 c)'!E19</f>
        <v>97120217.640000001</v>
      </c>
      <c r="T12" s="13">
        <f>'Formato 6 c)'!F19</f>
        <v>85693008.719999999</v>
      </c>
      <c r="U12" s="13">
        <f>'Formato 6 c)'!G19</f>
        <v>10592598.359999999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x14ac:dyDescent="0.2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x14ac:dyDescent="0.2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3">
        <f>'Formato 6 c)'!B23</f>
        <v>82610246</v>
      </c>
      <c r="Q16" s="13">
        <f>'Formato 6 c)'!C23</f>
        <v>25102570</v>
      </c>
      <c r="R16" s="13">
        <f>'Formato 6 c)'!D23</f>
        <v>107712816</v>
      </c>
      <c r="S16" s="13">
        <f>'Formato 6 c)'!E23</f>
        <v>97120217.640000001</v>
      </c>
      <c r="T16" s="13">
        <f>'Formato 6 c)'!F23</f>
        <v>85693008.719999999</v>
      </c>
      <c r="U16" s="13">
        <f>'Formato 6 c)'!G23</f>
        <v>10592598.359999999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3">
        <f>'Formato 6 c)'!B77</f>
        <v>82610246</v>
      </c>
      <c r="Q68" s="13">
        <f>'Formato 6 c)'!C77</f>
        <v>25102570</v>
      </c>
      <c r="R68" s="13">
        <f>'Formato 6 c)'!D77</f>
        <v>107712816</v>
      </c>
      <c r="S68" s="13">
        <f>'Formato 6 c)'!E77</f>
        <v>97120217.640000001</v>
      </c>
      <c r="T68" s="13">
        <f>'Formato 6 c)'!F77</f>
        <v>85693008.719999999</v>
      </c>
      <c r="U68" s="13">
        <f>'Formato 6 c)'!G77</f>
        <v>10592598.359999999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 CULTURA FISICA Y DEPORTE DE LEON GUANAJUATO, Gobierno del Estado de Guanajuato</v>
      </c>
    </row>
    <row r="7" spans="2:3" x14ac:dyDescent="0.25">
      <c r="C7" t="str">
        <f>CONCATENATE(ENTE_PUBLICO," (a)")</f>
        <v>COMISION MUNICIPAL DE CULTURA FISICA Y DEPORTE DE LEON GUANAJUATO, Gobierno del Estado de Guanajuato (a)</v>
      </c>
    </row>
    <row r="8" spans="2:3" ht="27" customHeight="1" x14ac:dyDescent="0.25">
      <c r="B8" t="s">
        <v>787</v>
      </c>
      <c r="C8" s="18" t="s">
        <v>799</v>
      </c>
    </row>
    <row r="10" spans="2:3" ht="25.5" customHeight="1" x14ac:dyDescent="0.25">
      <c r="B10" t="s">
        <v>788</v>
      </c>
      <c r="C10" s="18" t="s">
        <v>1139</v>
      </c>
    </row>
    <row r="11" spans="2:3" ht="20.25" customHeight="1" x14ac:dyDescent="0.2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786</v>
      </c>
      <c r="C12" s="18">
        <v>2018</v>
      </c>
    </row>
    <row r="14" spans="2:3" x14ac:dyDescent="0.25">
      <c r="B14" t="s">
        <v>785</v>
      </c>
      <c r="C14" s="18" t="s">
        <v>3348</v>
      </c>
    </row>
    <row r="15" spans="2:3" x14ac:dyDescent="0.25">
      <c r="C15" s="18">
        <v>4</v>
      </c>
    </row>
    <row r="16" spans="2:3" x14ac:dyDescent="0.25">
      <c r="C16" s="18" t="s">
        <v>3349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15" t="str">
        <f>CONCATENATE(ANIO_INFORME, " (d)")</f>
        <v>2018 (d)</v>
      </c>
      <c r="E20" s="16" t="str">
        <f>CONCATENATE("31 de diciembre de ",ANIO_INFORME-1, " (e)")</f>
        <v>31 de diciembre de 2017 (e)</v>
      </c>
      <c r="F20" s="25" t="str">
        <f>CONCATENATE("Saldo al 31 de diciembre de ",ANIO_INFORME-1, " (d)")</f>
        <v>Saldo al 31 de diciembre de 2017 (d)</v>
      </c>
    </row>
    <row r="23" spans="4:9" x14ac:dyDescent="0.25">
      <c r="D23" s="27">
        <f>ANIO_INFORME + 1</f>
        <v>2019</v>
      </c>
      <c r="E23" s="28" t="str">
        <f>CONCATENATE(ANIO_INFORME + 2, " (d)")</f>
        <v>2020 (d)</v>
      </c>
      <c r="F23" s="28" t="str">
        <f>CONCATENATE(ANIO_INFORME + 3, " (d)")</f>
        <v>2021 (d)</v>
      </c>
      <c r="G23" s="28" t="str">
        <f>CONCATENATE(ANIO_INFORME + 4, " (d)")</f>
        <v>2022 (d)</v>
      </c>
      <c r="H23" s="28" t="str">
        <f>CONCATENATE(ANIO_INFORME + 5, " (d)")</f>
        <v>2023 (d)</v>
      </c>
      <c r="I23" s="28" t="str">
        <f>CONCATENATE(ANIO_INFORME + 6, " (d)")</f>
        <v>2024 (d)</v>
      </c>
    </row>
    <row r="25" spans="4:9" x14ac:dyDescent="0.25">
      <c r="D25" s="29" t="str">
        <f>CONCATENATE(ANIO_INFORME - 5, " ",CHAR(185)," (c)")</f>
        <v>2013 ¹ (c)</v>
      </c>
      <c r="E25" s="29" t="str">
        <f>CONCATENATE(ANIO_INFORME - 4, " ",CHAR(185)," (c)")</f>
        <v>2014 ¹ (c)</v>
      </c>
      <c r="F25" s="29" t="str">
        <f>CONCATENATE(ANIO_INFORME - 3, " ",CHAR(185)," (c)")</f>
        <v>2015 ¹ (c)</v>
      </c>
      <c r="G25" s="29" t="str">
        <f>CONCATENATE(ANIO_INFORME - 2, " ",CHAR(185)," (c)")</f>
        <v>2016 ¹ (c)</v>
      </c>
      <c r="H25" s="29" t="str">
        <f>CONCATENATE(ANIO_INFORME - 1, " ",CHAR(185)," (c)")</f>
        <v>2017 ¹ (c)</v>
      </c>
      <c r="I25" s="27">
        <f>ANIO_INFORME</f>
        <v>2018</v>
      </c>
    </row>
    <row r="26" spans="4:9" x14ac:dyDescent="0.25">
      <c r="D26" s="76"/>
    </row>
    <row r="29" spans="4:9" x14ac:dyDescent="0.25">
      <c r="D29" t="s">
        <v>3135</v>
      </c>
      <c r="E29" t="s">
        <v>3136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90" zoomScaleNormal="90" workbookViewId="0">
      <selection activeCell="D17" sqref="D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6" t="s">
        <v>3279</v>
      </c>
      <c r="B1" s="145"/>
      <c r="C1" s="145"/>
      <c r="D1" s="145"/>
      <c r="E1" s="145"/>
      <c r="F1" s="145"/>
      <c r="G1" s="145"/>
    </row>
    <row r="2" spans="1:7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1"/>
      <c r="G2" s="132"/>
    </row>
    <row r="3" spans="1:7" x14ac:dyDescent="0.25">
      <c r="A3" s="133" t="s">
        <v>277</v>
      </c>
      <c r="B3" s="134"/>
      <c r="C3" s="134"/>
      <c r="D3" s="134"/>
      <c r="E3" s="134"/>
      <c r="F3" s="134"/>
      <c r="G3" s="135"/>
    </row>
    <row r="4" spans="1:7" x14ac:dyDescent="0.25">
      <c r="A4" s="133" t="s">
        <v>399</v>
      </c>
      <c r="B4" s="134"/>
      <c r="C4" s="134"/>
      <c r="D4" s="134"/>
      <c r="E4" s="134"/>
      <c r="F4" s="134"/>
      <c r="G4" s="135"/>
    </row>
    <row r="5" spans="1:7" x14ac:dyDescent="0.25">
      <c r="A5" s="133" t="str">
        <f>TRIMESTRE</f>
        <v>Del 1 de enero al 31 de diciembre de 2018 (b)</v>
      </c>
      <c r="B5" s="134"/>
      <c r="C5" s="134"/>
      <c r="D5" s="134"/>
      <c r="E5" s="134"/>
      <c r="F5" s="134"/>
      <c r="G5" s="135"/>
    </row>
    <row r="6" spans="1:7" x14ac:dyDescent="0.25">
      <c r="A6" s="136" t="s">
        <v>118</v>
      </c>
      <c r="B6" s="137"/>
      <c r="C6" s="137"/>
      <c r="D6" s="137"/>
      <c r="E6" s="137"/>
      <c r="F6" s="137"/>
      <c r="G6" s="138"/>
    </row>
    <row r="7" spans="1:7" x14ac:dyDescent="0.25">
      <c r="A7" s="142" t="s">
        <v>361</v>
      </c>
      <c r="B7" s="147" t="s">
        <v>279</v>
      </c>
      <c r="C7" s="147"/>
      <c r="D7" s="147"/>
      <c r="E7" s="147"/>
      <c r="F7" s="147"/>
      <c r="G7" s="147" t="s">
        <v>280</v>
      </c>
    </row>
    <row r="8" spans="1:7" ht="29.25" customHeight="1" x14ac:dyDescent="0.25">
      <c r="A8" s="143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2"/>
    </row>
    <row r="9" spans="1:7" x14ac:dyDescent="0.25">
      <c r="A9" s="44" t="s">
        <v>400</v>
      </c>
      <c r="B9" s="55">
        <f>SUM(B10,B11,B12,B15,B16,B19)</f>
        <v>53468765</v>
      </c>
      <c r="C9" s="55">
        <f t="shared" ref="C9:F9" si="0">SUM(C10,C11,C12,C15,C16,C19)</f>
        <v>46812.5</v>
      </c>
      <c r="D9" s="55">
        <f t="shared" si="0"/>
        <v>53743766.159999996</v>
      </c>
      <c r="E9" s="55">
        <f t="shared" si="0"/>
        <v>49740588.68</v>
      </c>
      <c r="F9" s="55">
        <f t="shared" si="0"/>
        <v>49707577.079999991</v>
      </c>
      <c r="G9" s="55">
        <f>SUM(G10,G11,G12,G15,G16,G19)</f>
        <v>4003177.4799999995</v>
      </c>
    </row>
    <row r="10" spans="1:7" ht="14.25" customHeight="1" x14ac:dyDescent="0.25">
      <c r="A10" s="45" t="s">
        <v>401</v>
      </c>
      <c r="B10" s="122">
        <v>53468765</v>
      </c>
      <c r="C10" s="122">
        <v>46812.5</v>
      </c>
      <c r="D10" s="122">
        <v>53743766.159999996</v>
      </c>
      <c r="E10" s="56">
        <v>49740588.68</v>
      </c>
      <c r="F10" s="56">
        <v>49707577.079999991</v>
      </c>
      <c r="G10" s="56">
        <v>4003177.4799999995</v>
      </c>
    </row>
    <row r="11" spans="1:7" ht="14.25" customHeight="1" x14ac:dyDescent="0.25">
      <c r="A11" s="45" t="s">
        <v>402</v>
      </c>
      <c r="B11" s="56"/>
      <c r="C11" s="56">
        <v>0</v>
      </c>
      <c r="D11" s="56">
        <v>0</v>
      </c>
      <c r="E11" s="56">
        <v>0</v>
      </c>
      <c r="F11" s="56">
        <v>0</v>
      </c>
      <c r="G11" s="56">
        <f>D11-E11</f>
        <v>0</v>
      </c>
    </row>
    <row r="12" spans="1:7" x14ac:dyDescent="0.25">
      <c r="A12" s="45" t="s">
        <v>403</v>
      </c>
      <c r="B12" s="56"/>
      <c r="C12" s="56"/>
      <c r="D12" s="56"/>
      <c r="E12" s="56"/>
      <c r="F12" s="56"/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1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1"/>
        <v>0</v>
      </c>
    </row>
    <row r="16" spans="1:7" x14ac:dyDescent="0.25">
      <c r="A16" s="54" t="s">
        <v>407</v>
      </c>
      <c r="B16" s="56"/>
      <c r="C16" s="56"/>
      <c r="D16" s="56"/>
      <c r="E16" s="56"/>
      <c r="F16" s="56"/>
      <c r="G16" s="56">
        <f t="shared" ref="G16" si="2">G17+G18</f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/>
      <c r="C24" s="56"/>
      <c r="D24" s="56"/>
      <c r="E24" s="56"/>
      <c r="F24" s="56"/>
      <c r="G24" s="56">
        <f t="shared" ref="G24" si="4">G25+G26</f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5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5"/>
        <v>0</v>
      </c>
    </row>
    <row r="28" spans="1:7" s="18" customFormat="1" x14ac:dyDescent="0.25">
      <c r="A28" s="54" t="s">
        <v>407</v>
      </c>
      <c r="B28" s="56"/>
      <c r="C28" s="56"/>
      <c r="D28" s="56"/>
      <c r="E28" s="56"/>
      <c r="F28" s="56"/>
      <c r="G28" s="56">
        <f t="shared" ref="G28" si="6">G29+G30</f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7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7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53468765</v>
      </c>
      <c r="C33" s="55">
        <f t="shared" ref="C33:G33" si="8">C21+C9</f>
        <v>46812.5</v>
      </c>
      <c r="D33" s="55">
        <f t="shared" si="8"/>
        <v>53743766.159999996</v>
      </c>
      <c r="E33" s="55">
        <f t="shared" si="8"/>
        <v>49740588.68</v>
      </c>
      <c r="F33" s="55">
        <f t="shared" si="8"/>
        <v>49707577.079999991</v>
      </c>
      <c r="G33" s="55">
        <f t="shared" si="8"/>
        <v>4003177.4799999995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25" right="0.25" top="0.75" bottom="0.75" header="0.3" footer="0.3"/>
  <pageSetup scale="4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3">
        <f>'Formato 6 d)'!B9</f>
        <v>53468765</v>
      </c>
      <c r="Q2" s="13">
        <f>'Formato 6 d)'!C9</f>
        <v>46812.5</v>
      </c>
      <c r="R2" s="13">
        <f>'Formato 6 d)'!D9</f>
        <v>53743766.159999996</v>
      </c>
      <c r="S2" s="13">
        <f>'Formato 6 d)'!E9</f>
        <v>49740588.68</v>
      </c>
      <c r="T2" s="13">
        <f>'Formato 6 d)'!F9</f>
        <v>49707577.079999991</v>
      </c>
      <c r="U2" s="13">
        <f>'Formato 6 d)'!G9</f>
        <v>4003177.4799999995</v>
      </c>
    </row>
    <row r="3" spans="1:25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3">
        <f>'Formato 6 d)'!B10</f>
        <v>53468765</v>
      </c>
      <c r="Q3" s="13">
        <f>'Formato 6 d)'!C10</f>
        <v>46812.5</v>
      </c>
      <c r="R3" s="13">
        <f>'Formato 6 d)'!D10</f>
        <v>53743766.159999996</v>
      </c>
      <c r="S3" s="13">
        <f>'Formato 6 d)'!E10</f>
        <v>49740588.68</v>
      </c>
      <c r="T3" s="13">
        <f>'Formato 6 d)'!F10</f>
        <v>49707577.079999991</v>
      </c>
      <c r="U3" s="13">
        <f>'Formato 6 d)'!G10</f>
        <v>4003177.4799999995</v>
      </c>
      <c r="V3" s="13"/>
    </row>
    <row r="4" spans="1:25" x14ac:dyDescent="0.2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x14ac:dyDescent="0.2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x14ac:dyDescent="0.2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x14ac:dyDescent="0.2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x14ac:dyDescent="0.25">
      <c r="A1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x14ac:dyDescent="0.2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x14ac:dyDescent="0.2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x14ac:dyDescent="0.2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3">
        <f>'Formato 6 d)'!B33</f>
        <v>53468765</v>
      </c>
      <c r="Q24" s="13">
        <f>'Formato 6 d)'!C33</f>
        <v>46812.5</v>
      </c>
      <c r="R24" s="13">
        <f>'Formato 6 d)'!D33</f>
        <v>53743766.159999996</v>
      </c>
      <c r="S24" s="13">
        <f>'Formato 6 d)'!E33</f>
        <v>49740588.68</v>
      </c>
      <c r="T24" s="13">
        <f>'Formato 6 d)'!F33</f>
        <v>49707577.079999991</v>
      </c>
      <c r="U24" s="13">
        <f>'Formato 6 d)'!G33</f>
        <v>4003177.4799999995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activeCell="C14" sqref="C1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45" t="s">
        <v>413</v>
      </c>
      <c r="B1" s="145"/>
      <c r="C1" s="145"/>
      <c r="D1" s="145"/>
      <c r="E1" s="145"/>
      <c r="F1" s="145"/>
      <c r="G1" s="145"/>
    </row>
    <row r="2" spans="1:7" x14ac:dyDescent="0.25">
      <c r="A2" s="130" t="str">
        <f>ENTIDAD</f>
        <v>Municipio de León, Gobierno del Estado de Guanajuato</v>
      </c>
      <c r="B2" s="131"/>
      <c r="C2" s="131"/>
      <c r="D2" s="131"/>
      <c r="E2" s="131"/>
      <c r="F2" s="131"/>
      <c r="G2" s="132"/>
    </row>
    <row r="3" spans="1:7" x14ac:dyDescent="0.25">
      <c r="A3" s="133" t="s">
        <v>414</v>
      </c>
      <c r="B3" s="134"/>
      <c r="C3" s="134"/>
      <c r="D3" s="134"/>
      <c r="E3" s="134"/>
      <c r="F3" s="134"/>
      <c r="G3" s="135"/>
    </row>
    <row r="4" spans="1:7" x14ac:dyDescent="0.25">
      <c r="A4" s="133" t="s">
        <v>118</v>
      </c>
      <c r="B4" s="134"/>
      <c r="C4" s="134"/>
      <c r="D4" s="134"/>
      <c r="E4" s="134"/>
      <c r="F4" s="134"/>
      <c r="G4" s="135"/>
    </row>
    <row r="5" spans="1:7" x14ac:dyDescent="0.25">
      <c r="A5" s="133" t="s">
        <v>415</v>
      </c>
      <c r="B5" s="134"/>
      <c r="C5" s="134"/>
      <c r="D5" s="134"/>
      <c r="E5" s="134"/>
      <c r="F5" s="134"/>
      <c r="G5" s="135"/>
    </row>
    <row r="6" spans="1:7" x14ac:dyDescent="0.25">
      <c r="A6" s="142" t="s">
        <v>3280</v>
      </c>
      <c r="B6" s="43">
        <f>ANIO1P</f>
        <v>2019</v>
      </c>
      <c r="C6" s="153" t="str">
        <f>ANIO2P</f>
        <v>2020 (d)</v>
      </c>
      <c r="D6" s="153" t="str">
        <f>ANIO3P</f>
        <v>2021 (d)</v>
      </c>
      <c r="E6" s="153" t="str">
        <f>ANIO4P</f>
        <v>2022 (d)</v>
      </c>
      <c r="F6" s="153" t="str">
        <f>ANIO5P</f>
        <v>2023 (d)</v>
      </c>
      <c r="G6" s="153" t="str">
        <f>ANIO6P</f>
        <v>2024 (d)</v>
      </c>
    </row>
    <row r="7" spans="1:7" ht="48" customHeight="1" x14ac:dyDescent="0.25">
      <c r="A7" s="143"/>
      <c r="B7" s="73" t="s">
        <v>3283</v>
      </c>
      <c r="C7" s="154"/>
      <c r="D7" s="154"/>
      <c r="E7" s="154"/>
      <c r="F7" s="154"/>
      <c r="G7" s="154"/>
    </row>
    <row r="8" spans="1:7" x14ac:dyDescent="0.25">
      <c r="A8" s="44" t="s">
        <v>421</v>
      </c>
      <c r="B8" s="28">
        <f>SUM(B9:B20)</f>
        <v>82610245.999999985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216</v>
      </c>
      <c r="B9" s="50"/>
      <c r="C9" s="50"/>
      <c r="D9" s="50"/>
      <c r="E9" s="50"/>
      <c r="F9" s="50"/>
      <c r="G9" s="50"/>
    </row>
    <row r="10" spans="1:7" x14ac:dyDescent="0.25">
      <c r="A10" s="45" t="s">
        <v>217</v>
      </c>
      <c r="B10" s="50"/>
      <c r="C10" s="50"/>
      <c r="D10" s="50"/>
      <c r="E10" s="50"/>
      <c r="F10" s="50"/>
      <c r="G10" s="50"/>
    </row>
    <row r="11" spans="1:7" x14ac:dyDescent="0.25">
      <c r="A11" s="45" t="s">
        <v>218</v>
      </c>
      <c r="B11" s="50"/>
      <c r="C11" s="50"/>
      <c r="D11" s="50"/>
      <c r="E11" s="50"/>
      <c r="F11" s="50"/>
      <c r="G11" s="50"/>
    </row>
    <row r="12" spans="1:7" x14ac:dyDescent="0.25">
      <c r="A12" s="45" t="s">
        <v>416</v>
      </c>
      <c r="B12" s="50"/>
      <c r="C12" s="50"/>
      <c r="D12" s="50"/>
      <c r="E12" s="50"/>
      <c r="F12" s="50"/>
      <c r="G12" s="50"/>
    </row>
    <row r="13" spans="1:7" x14ac:dyDescent="0.25">
      <c r="A13" s="45" t="s">
        <v>220</v>
      </c>
      <c r="B13" s="50">
        <v>917799.23</v>
      </c>
      <c r="C13" s="50"/>
      <c r="D13" s="50"/>
      <c r="E13" s="50"/>
      <c r="F13" s="50"/>
      <c r="G13" s="50"/>
    </row>
    <row r="14" spans="1:7" x14ac:dyDescent="0.25">
      <c r="A14" s="45" t="s">
        <v>221</v>
      </c>
      <c r="B14" s="50"/>
      <c r="C14" s="50"/>
      <c r="D14" s="50"/>
      <c r="E14" s="50"/>
      <c r="F14" s="50"/>
      <c r="G14" s="50"/>
    </row>
    <row r="15" spans="1:7" x14ac:dyDescent="0.25">
      <c r="A15" s="45" t="s">
        <v>417</v>
      </c>
      <c r="B15" s="50">
        <v>61161947.799999997</v>
      </c>
      <c r="C15" s="50"/>
      <c r="D15" s="50"/>
      <c r="E15" s="50"/>
      <c r="F15" s="50"/>
      <c r="G15" s="50"/>
    </row>
    <row r="16" spans="1:7" x14ac:dyDescent="0.2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17745006.84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>
        <v>2785492.13</v>
      </c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82610245.999999985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82610245.999999985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3">
        <f>'Formato 7 a)'!B13</f>
        <v>917799.23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3">
        <f>'Formato 7 a)'!B15</f>
        <v>61161947.799999997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3">
        <f>'Formato 7 a)'!B18</f>
        <v>17745006.84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3">
        <f>'Formato 7 a)'!B19</f>
        <v>2785492.13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3">
        <f>'Formato 7 a)'!B32</f>
        <v>82610245.999999985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topLeftCell="A2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25">
      <c r="A1" s="145" t="s">
        <v>443</v>
      </c>
      <c r="B1" s="145"/>
      <c r="C1" s="145"/>
      <c r="D1" s="145"/>
      <c r="E1" s="145"/>
      <c r="F1" s="145"/>
      <c r="G1" s="145"/>
    </row>
    <row r="2" spans="1:7" x14ac:dyDescent="0.25">
      <c r="A2" s="130" t="str">
        <f>ENTIDAD</f>
        <v>Municipio de León, Gobierno del Estado de Guanajuato</v>
      </c>
      <c r="B2" s="131"/>
      <c r="C2" s="131"/>
      <c r="D2" s="131"/>
      <c r="E2" s="131"/>
      <c r="F2" s="131"/>
      <c r="G2" s="132"/>
    </row>
    <row r="3" spans="1:7" x14ac:dyDescent="0.25">
      <c r="A3" s="133" t="s">
        <v>444</v>
      </c>
      <c r="B3" s="134"/>
      <c r="C3" s="134"/>
      <c r="D3" s="134"/>
      <c r="E3" s="134"/>
      <c r="F3" s="134"/>
      <c r="G3" s="135"/>
    </row>
    <row r="4" spans="1:7" x14ac:dyDescent="0.25">
      <c r="A4" s="133" t="s">
        <v>118</v>
      </c>
      <c r="B4" s="134"/>
      <c r="C4" s="134"/>
      <c r="D4" s="134"/>
      <c r="E4" s="134"/>
      <c r="F4" s="134"/>
      <c r="G4" s="135"/>
    </row>
    <row r="5" spans="1:7" x14ac:dyDescent="0.25">
      <c r="A5" s="133" t="s">
        <v>415</v>
      </c>
      <c r="B5" s="134"/>
      <c r="C5" s="134"/>
      <c r="D5" s="134"/>
      <c r="E5" s="134"/>
      <c r="F5" s="134"/>
      <c r="G5" s="135"/>
    </row>
    <row r="6" spans="1:7" x14ac:dyDescent="0.25">
      <c r="A6" s="155" t="s">
        <v>3134</v>
      </c>
      <c r="B6" s="43">
        <f>ANIO1P</f>
        <v>2019</v>
      </c>
      <c r="C6" s="153" t="str">
        <f>ANIO2P</f>
        <v>2020 (d)</v>
      </c>
      <c r="D6" s="153" t="str">
        <f>ANIO3P</f>
        <v>2021 (d)</v>
      </c>
      <c r="E6" s="153" t="str">
        <f>ANIO4P</f>
        <v>2022 (d)</v>
      </c>
      <c r="F6" s="153" t="str">
        <f>ANIO5P</f>
        <v>2023 (d)</v>
      </c>
      <c r="G6" s="153" t="str">
        <f>ANIO6P</f>
        <v>2024 (d)</v>
      </c>
    </row>
    <row r="7" spans="1:7" ht="48" customHeight="1" x14ac:dyDescent="0.25">
      <c r="A7" s="156"/>
      <c r="B7" s="73" t="s">
        <v>3283</v>
      </c>
      <c r="C7" s="154"/>
      <c r="D7" s="154"/>
      <c r="E7" s="154"/>
      <c r="F7" s="154"/>
      <c r="G7" s="154"/>
    </row>
    <row r="8" spans="1:7" x14ac:dyDescent="0.25">
      <c r="A8" s="44" t="s">
        <v>445</v>
      </c>
      <c r="B8" s="28">
        <f>SUM(B9:B17)</f>
        <v>82610250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446</v>
      </c>
      <c r="B9" s="123">
        <v>53468765</v>
      </c>
      <c r="C9" s="50"/>
      <c r="D9" s="50"/>
      <c r="E9" s="50"/>
      <c r="F9" s="50"/>
      <c r="G9" s="50"/>
    </row>
    <row r="10" spans="1:7" x14ac:dyDescent="0.25">
      <c r="A10" s="45" t="s">
        <v>447</v>
      </c>
      <c r="B10" s="50">
        <v>7081366.1200000001</v>
      </c>
      <c r="C10" s="50"/>
      <c r="D10" s="50"/>
      <c r="E10" s="50"/>
      <c r="F10" s="50"/>
      <c r="G10" s="50"/>
    </row>
    <row r="11" spans="1:7" x14ac:dyDescent="0.25">
      <c r="A11" s="45" t="s">
        <v>448</v>
      </c>
      <c r="B11" s="50">
        <v>20229908.380000003</v>
      </c>
      <c r="C11" s="50"/>
      <c r="D11" s="50"/>
      <c r="E11" s="50"/>
      <c r="F11" s="50"/>
      <c r="G11" s="50"/>
    </row>
    <row r="12" spans="1:7" x14ac:dyDescent="0.25">
      <c r="A12" s="45" t="s">
        <v>449</v>
      </c>
      <c r="B12" s="50">
        <v>694429.5</v>
      </c>
      <c r="C12" s="50"/>
      <c r="D12" s="50"/>
      <c r="E12" s="50"/>
      <c r="F12" s="50"/>
      <c r="G12" s="50"/>
    </row>
    <row r="13" spans="1:7" x14ac:dyDescent="0.25">
      <c r="A13" s="45" t="s">
        <v>450</v>
      </c>
      <c r="B13" s="50">
        <v>1135777</v>
      </c>
      <c r="C13" s="50"/>
      <c r="D13" s="50"/>
      <c r="E13" s="50"/>
      <c r="F13" s="50"/>
      <c r="G13" s="50"/>
    </row>
    <row r="14" spans="1:7" x14ac:dyDescent="0.25">
      <c r="A14" s="45" t="s">
        <v>451</v>
      </c>
      <c r="B14" s="50">
        <v>1</v>
      </c>
      <c r="C14" s="50"/>
      <c r="D14" s="50"/>
      <c r="E14" s="50"/>
      <c r="F14" s="50"/>
      <c r="G14" s="50"/>
    </row>
    <row r="15" spans="1:7" x14ac:dyDescent="0.25">
      <c r="A15" s="45" t="s">
        <v>452</v>
      </c>
      <c r="B15" s="50">
        <v>1</v>
      </c>
      <c r="C15" s="50"/>
      <c r="D15" s="50"/>
      <c r="E15" s="50"/>
      <c r="F15" s="50"/>
      <c r="G15" s="50"/>
    </row>
    <row r="16" spans="1:7" x14ac:dyDescent="0.25">
      <c r="A16" s="45" t="s">
        <v>453</v>
      </c>
      <c r="B16" s="50">
        <v>1</v>
      </c>
      <c r="C16" s="50"/>
      <c r="D16" s="50"/>
      <c r="E16" s="50"/>
      <c r="F16" s="50"/>
      <c r="G16" s="50"/>
    </row>
    <row r="17" spans="1:7" x14ac:dyDescent="0.25">
      <c r="A17" s="45" t="s">
        <v>454</v>
      </c>
      <c r="B17" s="50">
        <v>1</v>
      </c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455</v>
      </c>
      <c r="B19" s="51">
        <f>SUM(B20:B28)</f>
        <v>890008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446</v>
      </c>
      <c r="B20" s="50">
        <v>1</v>
      </c>
      <c r="C20" s="50"/>
      <c r="D20" s="50"/>
      <c r="E20" s="50"/>
      <c r="F20" s="50"/>
      <c r="G20" s="50"/>
    </row>
    <row r="21" spans="1:7" x14ac:dyDescent="0.25">
      <c r="A21" s="45" t="s">
        <v>447</v>
      </c>
      <c r="B21" s="50">
        <v>1</v>
      </c>
      <c r="C21" s="50"/>
      <c r="D21" s="50"/>
      <c r="E21" s="50"/>
      <c r="F21" s="50"/>
      <c r="G21" s="50"/>
    </row>
    <row r="22" spans="1:7" x14ac:dyDescent="0.25">
      <c r="A22" s="45" t="s">
        <v>448</v>
      </c>
      <c r="B22" s="50">
        <v>1</v>
      </c>
      <c r="C22" s="50"/>
      <c r="D22" s="50"/>
      <c r="E22" s="50"/>
      <c r="F22" s="50"/>
      <c r="G22" s="50"/>
    </row>
    <row r="23" spans="1:7" x14ac:dyDescent="0.25">
      <c r="A23" s="45" t="s">
        <v>449</v>
      </c>
      <c r="B23" s="50">
        <v>890000</v>
      </c>
      <c r="C23" s="50"/>
      <c r="D23" s="50"/>
      <c r="E23" s="50"/>
      <c r="F23" s="50"/>
      <c r="G23" s="50"/>
    </row>
    <row r="24" spans="1:7" x14ac:dyDescent="0.25">
      <c r="A24" s="45" t="s">
        <v>450</v>
      </c>
      <c r="B24" s="50">
        <v>1</v>
      </c>
      <c r="C24" s="50"/>
      <c r="D24" s="50"/>
      <c r="E24" s="50"/>
      <c r="F24" s="50"/>
      <c r="G24" s="50"/>
    </row>
    <row r="25" spans="1:7" x14ac:dyDescent="0.25">
      <c r="A25" s="45" t="s">
        <v>451</v>
      </c>
      <c r="B25" s="50">
        <v>1</v>
      </c>
      <c r="C25" s="50"/>
      <c r="D25" s="50"/>
      <c r="E25" s="50"/>
      <c r="F25" s="50"/>
      <c r="G25" s="50"/>
    </row>
    <row r="26" spans="1:7" x14ac:dyDescent="0.25">
      <c r="A26" s="45" t="s">
        <v>452</v>
      </c>
      <c r="B26" s="50">
        <v>1</v>
      </c>
      <c r="C26" s="50"/>
      <c r="D26" s="50"/>
      <c r="E26" s="50"/>
      <c r="F26" s="50"/>
      <c r="G26" s="50"/>
    </row>
    <row r="27" spans="1:7" x14ac:dyDescent="0.25">
      <c r="A27" s="45" t="s">
        <v>456</v>
      </c>
      <c r="B27" s="50">
        <v>1</v>
      </c>
      <c r="C27" s="50"/>
      <c r="D27" s="50"/>
      <c r="E27" s="50"/>
      <c r="F27" s="50"/>
      <c r="G27" s="50"/>
    </row>
    <row r="28" spans="1:7" x14ac:dyDescent="0.25">
      <c r="A28" s="45" t="s">
        <v>454</v>
      </c>
      <c r="B28" s="50">
        <v>1</v>
      </c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457</v>
      </c>
      <c r="B30" s="51">
        <f>B8+B19</f>
        <v>83500258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3">
        <f>'Formato 7 b)'!B8</f>
        <v>82610250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3">
        <f>'Formato 7 b)'!B9</f>
        <v>53468765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3">
        <f>'Formato 7 b)'!B10</f>
        <v>7081366.1200000001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3">
        <f>'Formato 7 b)'!B11</f>
        <v>20229908.380000003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3">
        <f>'Formato 7 b)'!B12</f>
        <v>694429.5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3">
        <f>'Formato 7 b)'!B13</f>
        <v>1135777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3">
        <f>'Formato 7 b)'!B14</f>
        <v>1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3">
        <f>'Formato 7 b)'!B15</f>
        <v>1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3">
        <f>'Formato 7 b)'!B16</f>
        <v>1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3">
        <f>'Formato 7 b)'!B17</f>
        <v>1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3">
        <f>'Formato 7 b)'!B19</f>
        <v>890008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3">
        <f>'Formato 7 b)'!B20</f>
        <v>1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3">
        <f>'Formato 7 b)'!B21</f>
        <v>1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3">
        <f>'Formato 7 b)'!B22</f>
        <v>1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3">
        <f>'Formato 7 b)'!B23</f>
        <v>890000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3">
        <f>'Formato 7 b)'!B24</f>
        <v>1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3">
        <f>'Formato 7 b)'!B25</f>
        <v>1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3">
        <f>'Formato 7 b)'!B26</f>
        <v>1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3">
        <f>'Formato 7 b)'!B27</f>
        <v>1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3">
        <f>'Formato 7 b)'!B28</f>
        <v>1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3">
        <f>'Formato 7 b)'!B30</f>
        <v>83500258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5" t="s">
        <v>458</v>
      </c>
      <c r="B1" s="145"/>
      <c r="C1" s="145"/>
      <c r="D1" s="145"/>
      <c r="E1" s="145"/>
      <c r="F1" s="145"/>
      <c r="G1" s="145"/>
    </row>
    <row r="2" spans="1:7" x14ac:dyDescent="0.25">
      <c r="A2" s="130" t="str">
        <f>ENTIDAD</f>
        <v>Municipio de León, Gobierno del Estado de Guanajuato</v>
      </c>
      <c r="B2" s="131"/>
      <c r="C2" s="131"/>
      <c r="D2" s="131"/>
      <c r="E2" s="131"/>
      <c r="F2" s="131"/>
      <c r="G2" s="132"/>
    </row>
    <row r="3" spans="1:7" x14ac:dyDescent="0.25">
      <c r="A3" s="133" t="s">
        <v>459</v>
      </c>
      <c r="B3" s="134"/>
      <c r="C3" s="134"/>
      <c r="D3" s="134"/>
      <c r="E3" s="134"/>
      <c r="F3" s="134"/>
      <c r="G3" s="135"/>
    </row>
    <row r="4" spans="1:7" x14ac:dyDescent="0.25">
      <c r="A4" s="136" t="s">
        <v>118</v>
      </c>
      <c r="B4" s="137"/>
      <c r="C4" s="137"/>
      <c r="D4" s="137"/>
      <c r="E4" s="137"/>
      <c r="F4" s="137"/>
      <c r="G4" s="138"/>
    </row>
    <row r="5" spans="1:7" x14ac:dyDescent="0.25">
      <c r="A5" s="160" t="s">
        <v>3280</v>
      </c>
      <c r="B5" s="158" t="str">
        <f>ANIO5R</f>
        <v>2013 ¹ (c)</v>
      </c>
      <c r="C5" s="158" t="str">
        <f>ANIO4R</f>
        <v>2014 ¹ (c)</v>
      </c>
      <c r="D5" s="158" t="str">
        <f>ANIO3R</f>
        <v>2015 ¹ (c)</v>
      </c>
      <c r="E5" s="158" t="str">
        <f>ANIO2R</f>
        <v>2016 ¹ (c)</v>
      </c>
      <c r="F5" s="158" t="str">
        <f>ANIO1R</f>
        <v>2017 ¹ (c)</v>
      </c>
      <c r="G5" s="43">
        <f>ANIO_INFORME</f>
        <v>2018</v>
      </c>
    </row>
    <row r="6" spans="1:7" ht="32.1" customHeight="1" x14ac:dyDescent="0.25">
      <c r="A6" s="148"/>
      <c r="B6" s="159"/>
      <c r="C6" s="159"/>
      <c r="D6" s="159"/>
      <c r="E6" s="159"/>
      <c r="F6" s="159"/>
      <c r="G6" s="73" t="s">
        <v>3286</v>
      </c>
    </row>
    <row r="7" spans="1:7" x14ac:dyDescent="0.25">
      <c r="A7" s="44" t="s">
        <v>460</v>
      </c>
      <c r="B7" s="28">
        <f>SUM(B8:B19)</f>
        <v>61069892.609999992</v>
      </c>
      <c r="C7" s="28">
        <f t="shared" ref="C7:G7" si="0">SUM(C8:C19)</f>
        <v>62869008.049999997</v>
      </c>
      <c r="D7" s="28">
        <f t="shared" si="0"/>
        <v>74728045.599999994</v>
      </c>
      <c r="E7" s="28">
        <f t="shared" si="0"/>
        <v>73614747.390000015</v>
      </c>
      <c r="F7" s="28">
        <f t="shared" si="0"/>
        <v>75638908.079999998</v>
      </c>
      <c r="G7" s="28">
        <f t="shared" si="0"/>
        <v>96672022.010000005</v>
      </c>
    </row>
    <row r="8" spans="1:7" x14ac:dyDescent="0.25">
      <c r="A8" s="45" t="s">
        <v>461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462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463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464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465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634826.13</v>
      </c>
    </row>
    <row r="13" spans="1:7" x14ac:dyDescent="0.25">
      <c r="A13" s="45" t="s">
        <v>466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467</v>
      </c>
      <c r="B14" s="50">
        <v>40555810.859999999</v>
      </c>
      <c r="C14" s="50">
        <v>44089388.960000001</v>
      </c>
      <c r="D14" s="50">
        <v>45039143</v>
      </c>
      <c r="E14" s="50">
        <v>47421422.920000002</v>
      </c>
      <c r="F14" s="50">
        <v>49207132.869999997</v>
      </c>
      <c r="G14" s="50">
        <v>55452341.039999999</v>
      </c>
    </row>
    <row r="15" spans="1:7" x14ac:dyDescent="0.25">
      <c r="A15" s="45" t="s">
        <v>468</v>
      </c>
      <c r="B15" s="50"/>
      <c r="C15" s="50"/>
      <c r="D15" s="50"/>
      <c r="E15" s="50"/>
      <c r="F15" s="50"/>
      <c r="G15" s="50"/>
    </row>
    <row r="16" spans="1:7" x14ac:dyDescent="0.25">
      <c r="A16" s="45" t="s">
        <v>469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</row>
    <row r="17" spans="1:7" x14ac:dyDescent="0.25">
      <c r="A17" s="45" t="s">
        <v>3290</v>
      </c>
      <c r="B17" s="50">
        <v>18573269.879999999</v>
      </c>
      <c r="C17" s="50">
        <v>18553457.09</v>
      </c>
      <c r="D17" s="50">
        <v>29147062.780000001</v>
      </c>
      <c r="E17" s="50">
        <v>25588508.82</v>
      </c>
      <c r="F17" s="50">
        <v>25455322.68</v>
      </c>
      <c r="G17" s="50">
        <v>39565006.840000004</v>
      </c>
    </row>
    <row r="18" spans="1:7" x14ac:dyDescent="0.25">
      <c r="A18" s="45" t="s">
        <v>470</v>
      </c>
      <c r="B18" s="50">
        <v>1940811.87</v>
      </c>
      <c r="C18" s="50">
        <v>226162</v>
      </c>
      <c r="D18" s="50">
        <v>541839.81999999995</v>
      </c>
      <c r="E18" s="50">
        <v>604815.65</v>
      </c>
      <c r="F18" s="50">
        <v>976452.53</v>
      </c>
      <c r="G18" s="50">
        <v>1019848</v>
      </c>
    </row>
    <row r="19" spans="1:7" x14ac:dyDescent="0.25">
      <c r="A19" s="45" t="s">
        <v>471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477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472</v>
      </c>
      <c r="B22" s="50"/>
      <c r="C22" s="50"/>
      <c r="D22" s="50"/>
      <c r="E22" s="50"/>
      <c r="F22" s="50"/>
      <c r="G22" s="50"/>
    </row>
    <row r="23" spans="1:7" x14ac:dyDescent="0.25">
      <c r="A23" s="45" t="s">
        <v>473</v>
      </c>
      <c r="B23" s="50"/>
      <c r="C23" s="50"/>
      <c r="D23" s="50"/>
      <c r="E23" s="50"/>
      <c r="F23" s="50"/>
      <c r="G23" s="50"/>
    </row>
    <row r="24" spans="1:7" x14ac:dyDescent="0.25">
      <c r="A24" s="45" t="s">
        <v>474</v>
      </c>
      <c r="B24" s="50"/>
      <c r="C24" s="50"/>
      <c r="D24" s="50"/>
      <c r="E24" s="50"/>
      <c r="F24" s="50"/>
      <c r="G24" s="50"/>
    </row>
    <row r="25" spans="1:7" x14ac:dyDescent="0.25">
      <c r="A25" s="45" t="s">
        <v>475</v>
      </c>
      <c r="B25" s="50"/>
      <c r="C25" s="50"/>
      <c r="D25" s="50"/>
      <c r="E25" s="50"/>
      <c r="F25" s="50"/>
      <c r="G25" s="50"/>
    </row>
    <row r="26" spans="1:7" x14ac:dyDescent="0.25">
      <c r="A26" s="45" t="s">
        <v>476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478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/>
      <c r="C29" s="50"/>
      <c r="D29" s="50"/>
      <c r="E29" s="50"/>
      <c r="F29" s="50"/>
      <c r="G29" s="50"/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479</v>
      </c>
      <c r="B31" s="51">
        <f>B7+B21+B28</f>
        <v>61069892.609999992</v>
      </c>
      <c r="C31" s="51">
        <f t="shared" ref="C31:G31" si="3">C7+C21+C28</f>
        <v>62869008.049999997</v>
      </c>
      <c r="D31" s="51">
        <f t="shared" si="3"/>
        <v>74728045.599999994</v>
      </c>
      <c r="E31" s="51">
        <f t="shared" si="3"/>
        <v>73614747.390000015</v>
      </c>
      <c r="F31" s="51">
        <f t="shared" si="3"/>
        <v>75638908.079999998</v>
      </c>
      <c r="G31" s="51">
        <f t="shared" si="3"/>
        <v>96672022.010000005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/>
    </row>
    <row r="35" spans="1:7" ht="30" x14ac:dyDescent="0.25">
      <c r="A35" s="48" t="s">
        <v>480</v>
      </c>
      <c r="B35" s="50"/>
      <c r="C35" s="50"/>
      <c r="D35" s="50"/>
      <c r="E35" s="50"/>
      <c r="F35" s="50"/>
      <c r="G35" s="50"/>
    </row>
    <row r="36" spans="1:7" x14ac:dyDescent="0.25">
      <c r="A36" s="47" t="s">
        <v>481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7" t="s">
        <v>3284</v>
      </c>
      <c r="B39" s="157"/>
      <c r="C39" s="157"/>
      <c r="D39" s="157"/>
      <c r="E39" s="157"/>
      <c r="F39" s="157"/>
      <c r="G39" s="157"/>
    </row>
    <row r="40" spans="1:7" ht="15" customHeight="1" x14ac:dyDescent="0.25">
      <c r="A40" s="157" t="s">
        <v>3285</v>
      </c>
      <c r="B40" s="157"/>
      <c r="C40" s="157"/>
      <c r="D40" s="157"/>
      <c r="E40" s="157"/>
      <c r="F40" s="157"/>
      <c r="G40" s="157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41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61069892.609999992</v>
      </c>
      <c r="Q2" s="13">
        <f>'Formato 7 c)'!C7</f>
        <v>62869008.049999997</v>
      </c>
      <c r="R2" s="13">
        <f>'Formato 7 c)'!D7</f>
        <v>74728045.599999994</v>
      </c>
      <c r="S2" s="13">
        <f>'Formato 7 c)'!E7</f>
        <v>73614747.390000015</v>
      </c>
      <c r="T2" s="13">
        <f>'Formato 7 c)'!F7</f>
        <v>75638908.079999998</v>
      </c>
      <c r="U2" s="13">
        <f>'Formato 7 c)'!G7</f>
        <v>96672022.010000005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634826.13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3">
        <f>'Formato 7 c)'!B14</f>
        <v>40555810.859999999</v>
      </c>
      <c r="Q9" s="13">
        <f>'Formato 7 c)'!C14</f>
        <v>44089388.960000001</v>
      </c>
      <c r="R9" s="13">
        <f>'Formato 7 c)'!D14</f>
        <v>45039143</v>
      </c>
      <c r="S9" s="13">
        <f>'Formato 7 c)'!E14</f>
        <v>47421422.920000002</v>
      </c>
      <c r="T9" s="13">
        <f>'Formato 7 c)'!F14</f>
        <v>49207132.869999997</v>
      </c>
      <c r="U9" s="13">
        <f>'Formato 7 c)'!G14</f>
        <v>55452341.039999999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3">
        <f>'Formato 7 c)'!B17</f>
        <v>18573269.879999999</v>
      </c>
      <c r="Q12" s="13">
        <f>'Formato 7 c)'!C17</f>
        <v>18553457.09</v>
      </c>
      <c r="R12" s="13">
        <f>'Formato 7 c)'!D17</f>
        <v>29147062.780000001</v>
      </c>
      <c r="S12" s="13">
        <f>'Formato 7 c)'!E17</f>
        <v>25588508.82</v>
      </c>
      <c r="T12" s="13">
        <f>'Formato 7 c)'!F17</f>
        <v>25455322.68</v>
      </c>
      <c r="U12" s="13">
        <f>'Formato 7 c)'!G17</f>
        <v>39565006.840000004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3">
        <f>'Formato 7 c)'!B18</f>
        <v>1940811.87</v>
      </c>
      <c r="Q13" s="13">
        <f>'Formato 7 c)'!C18</f>
        <v>226162</v>
      </c>
      <c r="R13" s="13">
        <f>'Formato 7 c)'!D18</f>
        <v>541839.81999999995</v>
      </c>
      <c r="S13" s="13">
        <f>'Formato 7 c)'!E18</f>
        <v>604815.65</v>
      </c>
      <c r="T13" s="13">
        <f>'Formato 7 c)'!F18</f>
        <v>976452.53</v>
      </c>
      <c r="U13" s="13">
        <f>'Formato 7 c)'!G18</f>
        <v>1019848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3">
        <f>'Formato 7 c)'!B31</f>
        <v>61069892.609999992</v>
      </c>
      <c r="Q23" s="13">
        <f>'Formato 7 c)'!C31</f>
        <v>62869008.049999997</v>
      </c>
      <c r="R23" s="13">
        <f>'Formato 7 c)'!D31</f>
        <v>74728045.599999994</v>
      </c>
      <c r="S23" s="13">
        <f>'Formato 7 c)'!E31</f>
        <v>73614747.390000015</v>
      </c>
      <c r="T23" s="13">
        <f>'Formato 7 c)'!F31</f>
        <v>75638908.079999998</v>
      </c>
      <c r="U23" s="13">
        <f>'Formato 7 c)'!G31</f>
        <v>96672022.010000005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zoomScale="90" zoomScaleNormal="90" workbookViewId="0">
      <selection activeCell="G24" sqref="G2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5" t="s">
        <v>482</v>
      </c>
      <c r="B1" s="145"/>
      <c r="C1" s="145"/>
      <c r="D1" s="145"/>
      <c r="E1" s="145"/>
      <c r="F1" s="145"/>
      <c r="G1" s="145"/>
    </row>
    <row r="2" spans="1:7" x14ac:dyDescent="0.25">
      <c r="A2" s="130" t="str">
        <f>ENTIDAD</f>
        <v>Municipio de León, Gobierno del Estado de Guanajuato</v>
      </c>
      <c r="B2" s="131"/>
      <c r="C2" s="131"/>
      <c r="D2" s="131"/>
      <c r="E2" s="131"/>
      <c r="F2" s="131"/>
      <c r="G2" s="132"/>
    </row>
    <row r="3" spans="1:7" x14ac:dyDescent="0.25">
      <c r="A3" s="133" t="s">
        <v>483</v>
      </c>
      <c r="B3" s="134"/>
      <c r="C3" s="134"/>
      <c r="D3" s="134"/>
      <c r="E3" s="134"/>
      <c r="F3" s="134"/>
      <c r="G3" s="135"/>
    </row>
    <row r="4" spans="1:7" x14ac:dyDescent="0.25">
      <c r="A4" s="136" t="s">
        <v>118</v>
      </c>
      <c r="B4" s="137"/>
      <c r="C4" s="137"/>
      <c r="D4" s="137"/>
      <c r="E4" s="137"/>
      <c r="F4" s="137"/>
      <c r="G4" s="138"/>
    </row>
    <row r="5" spans="1:7" x14ac:dyDescent="0.25">
      <c r="A5" s="161" t="s">
        <v>3134</v>
      </c>
      <c r="B5" s="158" t="str">
        <f>ANIO5R</f>
        <v>2013 ¹ (c)</v>
      </c>
      <c r="C5" s="158" t="str">
        <f>ANIO4R</f>
        <v>2014 ¹ (c)</v>
      </c>
      <c r="D5" s="158" t="str">
        <f>ANIO3R</f>
        <v>2015 ¹ (c)</v>
      </c>
      <c r="E5" s="158" t="str">
        <f>ANIO2R</f>
        <v>2016 ¹ (c)</v>
      </c>
      <c r="F5" s="158" t="str">
        <f>ANIO1R</f>
        <v>2017 ¹ (c)</v>
      </c>
      <c r="G5" s="43">
        <f>ANIO_INFORME</f>
        <v>2018</v>
      </c>
    </row>
    <row r="6" spans="1:7" ht="32.1" customHeight="1" x14ac:dyDescent="0.25">
      <c r="A6" s="162"/>
      <c r="B6" s="159"/>
      <c r="C6" s="159"/>
      <c r="D6" s="159"/>
      <c r="E6" s="159"/>
      <c r="F6" s="159"/>
      <c r="G6" s="73" t="s">
        <v>3287</v>
      </c>
    </row>
    <row r="7" spans="1:7" x14ac:dyDescent="0.25">
      <c r="A7" s="44" t="s">
        <v>484</v>
      </c>
      <c r="B7" s="28">
        <f>SUM(B8:B16)</f>
        <v>59173421.979999997</v>
      </c>
      <c r="C7" s="28">
        <f t="shared" ref="C7:G7" si="0">SUM(C8:C16)</f>
        <v>50870337.809999995</v>
      </c>
      <c r="D7" s="28">
        <f t="shared" si="0"/>
        <v>66191213.269999996</v>
      </c>
      <c r="E7" s="28">
        <f t="shared" si="0"/>
        <v>70928397.859999985</v>
      </c>
      <c r="F7" s="28">
        <f t="shared" si="0"/>
        <v>72274409.429999992</v>
      </c>
      <c r="G7" s="28">
        <f t="shared" si="0"/>
        <v>75446246.090000004</v>
      </c>
    </row>
    <row r="8" spans="1:7" x14ac:dyDescent="0.25">
      <c r="A8" s="45" t="s">
        <v>446</v>
      </c>
      <c r="B8" s="50">
        <v>36098044.979999997</v>
      </c>
      <c r="C8" s="123">
        <v>33961636.259999998</v>
      </c>
      <c r="D8" s="50">
        <v>42482868.689999998</v>
      </c>
      <c r="E8" s="50">
        <v>45976362.979999997</v>
      </c>
      <c r="F8" s="50">
        <v>45259201.93</v>
      </c>
      <c r="G8" s="50">
        <v>49740588.68</v>
      </c>
    </row>
    <row r="9" spans="1:7" x14ac:dyDescent="0.25">
      <c r="A9" s="45" t="s">
        <v>447</v>
      </c>
      <c r="B9" s="50">
        <v>7132990.3200000003</v>
      </c>
      <c r="C9" s="123">
        <v>5745533.9400000004</v>
      </c>
      <c r="D9" s="50">
        <v>5215749.5199999996</v>
      </c>
      <c r="E9" s="50">
        <v>6166899.9500000002</v>
      </c>
      <c r="F9" s="50">
        <v>6927998.1799999997</v>
      </c>
      <c r="G9" s="50">
        <v>6574249.04</v>
      </c>
    </row>
    <row r="10" spans="1:7" x14ac:dyDescent="0.25">
      <c r="A10" s="45" t="s">
        <v>448</v>
      </c>
      <c r="B10" s="50">
        <v>13333081.220000001</v>
      </c>
      <c r="C10" s="123">
        <v>9888599.2300000004</v>
      </c>
      <c r="D10" s="50">
        <v>16059791.039999999</v>
      </c>
      <c r="E10" s="50">
        <v>15239746.619999999</v>
      </c>
      <c r="F10" s="50">
        <v>16149751.689999999</v>
      </c>
      <c r="G10" s="50">
        <v>17910856.879999999</v>
      </c>
    </row>
    <row r="11" spans="1:7" x14ac:dyDescent="0.25">
      <c r="A11" s="45" t="s">
        <v>449</v>
      </c>
      <c r="B11" s="50">
        <v>2318022.09</v>
      </c>
      <c r="C11" s="50">
        <v>539138.29</v>
      </c>
      <c r="D11" s="50">
        <v>1615368.95</v>
      </c>
      <c r="E11" s="50">
        <v>2382144.46</v>
      </c>
      <c r="F11" s="50">
        <v>3098330.88</v>
      </c>
      <c r="G11" s="50">
        <v>861876.59</v>
      </c>
    </row>
    <row r="12" spans="1:7" x14ac:dyDescent="0.25">
      <c r="A12" s="45" t="s">
        <v>450</v>
      </c>
      <c r="B12" s="50">
        <v>291283.37</v>
      </c>
      <c r="C12" s="50">
        <v>735430.09</v>
      </c>
      <c r="D12" s="50">
        <v>817435.07</v>
      </c>
      <c r="E12" s="50">
        <v>1163243.8500000001</v>
      </c>
      <c r="F12" s="50">
        <v>839126.75</v>
      </c>
      <c r="G12" s="50">
        <v>358674.9</v>
      </c>
    </row>
    <row r="13" spans="1:7" x14ac:dyDescent="0.25">
      <c r="A13" s="45" t="s">
        <v>451</v>
      </c>
      <c r="B13" s="50"/>
      <c r="C13" s="50"/>
      <c r="D13" s="50"/>
      <c r="E13" s="50"/>
      <c r="F13" s="50"/>
      <c r="G13" s="50"/>
    </row>
    <row r="14" spans="1:7" x14ac:dyDescent="0.25">
      <c r="A14" s="45" t="s">
        <v>452</v>
      </c>
      <c r="B14" s="50"/>
      <c r="C14" s="50"/>
      <c r="D14" s="50"/>
      <c r="E14" s="50"/>
      <c r="F14" s="50"/>
      <c r="G14" s="50"/>
    </row>
    <row r="15" spans="1:7" x14ac:dyDescent="0.25">
      <c r="A15" s="45" t="s">
        <v>453</v>
      </c>
      <c r="B15" s="50"/>
      <c r="C15" s="50"/>
      <c r="D15" s="50"/>
      <c r="E15" s="50"/>
      <c r="F15" s="50"/>
      <c r="G15" s="50"/>
    </row>
    <row r="16" spans="1:7" x14ac:dyDescent="0.25">
      <c r="A16" s="45" t="s">
        <v>454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485</v>
      </c>
      <c r="B18" s="51">
        <f>SUM(B19:B27)</f>
        <v>4746953.8</v>
      </c>
      <c r="C18" s="51">
        <f t="shared" ref="C18:G18" si="1">SUM(C19:C27)</f>
        <v>12101918.51</v>
      </c>
      <c r="D18" s="51">
        <f t="shared" si="1"/>
        <v>11102857.42</v>
      </c>
      <c r="E18" s="51">
        <f t="shared" si="1"/>
        <v>7261593.6400000006</v>
      </c>
      <c r="F18" s="51">
        <f t="shared" si="1"/>
        <v>2501638.19</v>
      </c>
      <c r="G18" s="51">
        <f t="shared" si="1"/>
        <v>21673971.549999997</v>
      </c>
    </row>
    <row r="19" spans="1:7" x14ac:dyDescent="0.25">
      <c r="A19" s="45" t="s">
        <v>446</v>
      </c>
      <c r="B19" s="124">
        <v>4746953.8</v>
      </c>
      <c r="C19" s="125">
        <v>4746953.8</v>
      </c>
      <c r="D19" s="123">
        <v>393865.78</v>
      </c>
      <c r="E19" s="123">
        <v>471196.19</v>
      </c>
      <c r="F19" s="123">
        <v>142304.54999999999</v>
      </c>
      <c r="G19" s="123">
        <v>0</v>
      </c>
    </row>
    <row r="20" spans="1:7" x14ac:dyDescent="0.25">
      <c r="A20" s="45" t="s">
        <v>447</v>
      </c>
      <c r="B20" s="123">
        <v>0</v>
      </c>
      <c r="C20" s="123">
        <v>2648525.2799999998</v>
      </c>
      <c r="D20" s="123">
        <v>1226872.74</v>
      </c>
      <c r="E20" s="123">
        <v>817746.09</v>
      </c>
      <c r="F20" s="123">
        <v>1111485.95</v>
      </c>
      <c r="G20" s="123">
        <v>1572824.35</v>
      </c>
    </row>
    <row r="21" spans="1:7" x14ac:dyDescent="0.25">
      <c r="A21" s="45" t="s">
        <v>448</v>
      </c>
      <c r="B21" s="123">
        <v>0</v>
      </c>
      <c r="C21" s="123">
        <v>3179616.74</v>
      </c>
      <c r="D21" s="123">
        <v>4116895.54</v>
      </c>
      <c r="E21" s="123">
        <v>1911734.75</v>
      </c>
      <c r="F21" s="123">
        <v>398908.69</v>
      </c>
      <c r="G21" s="123">
        <v>3613015.12</v>
      </c>
    </row>
    <row r="22" spans="1:7" x14ac:dyDescent="0.25">
      <c r="A22" s="45" t="s">
        <v>449</v>
      </c>
      <c r="B22" s="123">
        <v>0</v>
      </c>
      <c r="C22" s="123">
        <v>1501302.69</v>
      </c>
      <c r="D22" s="123">
        <v>3952298.01</v>
      </c>
      <c r="E22" s="123">
        <v>3776499.21</v>
      </c>
      <c r="F22" s="123">
        <v>805547</v>
      </c>
      <c r="G22" s="123">
        <v>16350000</v>
      </c>
    </row>
    <row r="23" spans="1:7" x14ac:dyDescent="0.25">
      <c r="A23" s="45" t="s">
        <v>450</v>
      </c>
      <c r="B23" s="123">
        <v>0</v>
      </c>
      <c r="C23" s="123">
        <v>25520</v>
      </c>
      <c r="D23" s="123">
        <v>1412925.35</v>
      </c>
      <c r="E23" s="123">
        <v>284417.40000000002</v>
      </c>
      <c r="F23" s="123">
        <v>43392</v>
      </c>
      <c r="G23" s="123">
        <v>138132.07999999999</v>
      </c>
    </row>
    <row r="24" spans="1:7" x14ac:dyDescent="0.25">
      <c r="A24" s="45" t="s">
        <v>451</v>
      </c>
      <c r="B24" s="50"/>
      <c r="C24" s="50"/>
      <c r="D24" s="50"/>
      <c r="E24" s="50"/>
      <c r="F24" s="50"/>
      <c r="G24" s="50"/>
    </row>
    <row r="25" spans="1:7" x14ac:dyDescent="0.25">
      <c r="A25" s="45" t="s">
        <v>452</v>
      </c>
      <c r="B25" s="50"/>
      <c r="C25" s="50"/>
      <c r="D25" s="50"/>
      <c r="E25" s="50"/>
      <c r="F25" s="50"/>
      <c r="G25" s="50"/>
    </row>
    <row r="26" spans="1:7" x14ac:dyDescent="0.25">
      <c r="A26" s="45" t="s">
        <v>456</v>
      </c>
      <c r="B26" s="50"/>
      <c r="C26" s="50"/>
      <c r="D26" s="50"/>
      <c r="E26" s="50"/>
      <c r="F26" s="50"/>
      <c r="G26" s="50"/>
    </row>
    <row r="27" spans="1:7" x14ac:dyDescent="0.25">
      <c r="A27" s="45" t="s">
        <v>454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486</v>
      </c>
      <c r="B29" s="50">
        <f>B7+B18</f>
        <v>63920375.779999994</v>
      </c>
      <c r="C29" s="50">
        <f t="shared" ref="C29:G29" si="2">C7+C18</f>
        <v>62972256.319999993</v>
      </c>
      <c r="D29" s="50">
        <f t="shared" si="2"/>
        <v>77294070.689999998</v>
      </c>
      <c r="E29" s="50">
        <f t="shared" si="2"/>
        <v>78189991.499999985</v>
      </c>
      <c r="F29" s="50">
        <f t="shared" si="2"/>
        <v>74776047.61999999</v>
      </c>
      <c r="G29" s="50">
        <f t="shared" si="2"/>
        <v>97120217.640000001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7" t="s">
        <v>3284</v>
      </c>
      <c r="B32" s="157"/>
      <c r="C32" s="157"/>
      <c r="D32" s="157"/>
      <c r="E32" s="157"/>
      <c r="F32" s="157"/>
      <c r="G32" s="157"/>
    </row>
    <row r="33" spans="1:7" x14ac:dyDescent="0.25">
      <c r="A33" s="157" t="s">
        <v>3285</v>
      </c>
      <c r="B33" s="157"/>
      <c r="C33" s="157"/>
      <c r="D33" s="157"/>
      <c r="E33" s="157"/>
      <c r="F33" s="157"/>
      <c r="G33" s="15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C7:G29 B7:B18 B20:B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3">
        <f>'Formato 7 d)'!B7</f>
        <v>59173421.979999997</v>
      </c>
      <c r="Q2" s="13">
        <f>'Formato 7 d)'!C7</f>
        <v>50870337.809999995</v>
      </c>
      <c r="R2" s="13">
        <f>'Formato 7 d)'!D7</f>
        <v>66191213.269999996</v>
      </c>
      <c r="S2" s="13">
        <f>'Formato 7 d)'!E7</f>
        <v>70928397.859999985</v>
      </c>
      <c r="T2" s="13">
        <f>'Formato 7 d)'!F7</f>
        <v>72274409.429999992</v>
      </c>
      <c r="U2" s="13">
        <f>'Formato 7 d)'!G7</f>
        <v>75446246.090000004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3">
        <f>'Formato 7 d)'!B8</f>
        <v>36098044.979999997</v>
      </c>
      <c r="Q3" s="13">
        <f>'Formato 7 d)'!C8</f>
        <v>33961636.259999998</v>
      </c>
      <c r="R3" s="13">
        <f>'Formato 7 d)'!D8</f>
        <v>42482868.689999998</v>
      </c>
      <c r="S3" s="13">
        <f>'Formato 7 d)'!E8</f>
        <v>45976362.979999997</v>
      </c>
      <c r="T3" s="13">
        <f>'Formato 7 d)'!F8</f>
        <v>45259201.93</v>
      </c>
      <c r="U3" s="13">
        <f>'Formato 7 d)'!G8</f>
        <v>49740588.68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3">
        <f>'Formato 7 d)'!B9</f>
        <v>7132990.3200000003</v>
      </c>
      <c r="Q4" s="13">
        <f>'Formato 7 d)'!C9</f>
        <v>5745533.9400000004</v>
      </c>
      <c r="R4" s="13">
        <f>'Formato 7 d)'!D9</f>
        <v>5215749.5199999996</v>
      </c>
      <c r="S4" s="13">
        <f>'Formato 7 d)'!E9</f>
        <v>6166899.9500000002</v>
      </c>
      <c r="T4" s="13">
        <f>'Formato 7 d)'!F9</f>
        <v>6927998.1799999997</v>
      </c>
      <c r="U4" s="13">
        <f>'Formato 7 d)'!G9</f>
        <v>6574249.04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3">
        <f>'Formato 7 d)'!B10</f>
        <v>13333081.220000001</v>
      </c>
      <c r="Q5" s="13">
        <f>'Formato 7 d)'!C10</f>
        <v>9888599.2300000004</v>
      </c>
      <c r="R5" s="13">
        <f>'Formato 7 d)'!D10</f>
        <v>16059791.039999999</v>
      </c>
      <c r="S5" s="13">
        <f>'Formato 7 d)'!E10</f>
        <v>15239746.619999999</v>
      </c>
      <c r="T5" s="13">
        <f>'Formato 7 d)'!F10</f>
        <v>16149751.689999999</v>
      </c>
      <c r="U5" s="13">
        <f>'Formato 7 d)'!G10</f>
        <v>17910856.879999999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3">
        <f>'Formato 7 d)'!B11</f>
        <v>2318022.09</v>
      </c>
      <c r="Q6" s="13">
        <f>'Formato 7 d)'!C11</f>
        <v>539138.29</v>
      </c>
      <c r="R6" s="13">
        <f>'Formato 7 d)'!D11</f>
        <v>1615368.95</v>
      </c>
      <c r="S6" s="13">
        <f>'Formato 7 d)'!E11</f>
        <v>2382144.46</v>
      </c>
      <c r="T6" s="13">
        <f>'Formato 7 d)'!F11</f>
        <v>3098330.88</v>
      </c>
      <c r="U6" s="13">
        <f>'Formato 7 d)'!G11</f>
        <v>861876.59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3">
        <f>'Formato 7 d)'!B12</f>
        <v>291283.37</v>
      </c>
      <c r="Q7" s="13">
        <f>'Formato 7 d)'!C12</f>
        <v>735430.09</v>
      </c>
      <c r="R7" s="13">
        <f>'Formato 7 d)'!D12</f>
        <v>817435.07</v>
      </c>
      <c r="S7" s="13">
        <f>'Formato 7 d)'!E12</f>
        <v>1163243.8500000001</v>
      </c>
      <c r="T7" s="13">
        <f>'Formato 7 d)'!F12</f>
        <v>839126.75</v>
      </c>
      <c r="U7" s="13">
        <f>'Formato 7 d)'!G12</f>
        <v>358674.9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3">
        <f>'Formato 7 d)'!B18</f>
        <v>4746953.8</v>
      </c>
      <c r="Q12" s="13">
        <f>'Formato 7 d)'!C18</f>
        <v>12101918.51</v>
      </c>
      <c r="R12" s="13">
        <f>'Formato 7 d)'!D18</f>
        <v>11102857.42</v>
      </c>
      <c r="S12" s="13">
        <f>'Formato 7 d)'!E18</f>
        <v>7261593.6400000006</v>
      </c>
      <c r="T12" s="13">
        <f>'Formato 7 d)'!F18</f>
        <v>2501638.19</v>
      </c>
      <c r="U12" s="13">
        <f>'Formato 7 d)'!G18</f>
        <v>21673971.549999997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3">
        <f>'Formato 7 d)'!B19</f>
        <v>4746953.8</v>
      </c>
      <c r="Q13" s="13">
        <f>'Formato 7 d)'!C19</f>
        <v>4746953.8</v>
      </c>
      <c r="R13" s="13">
        <f>'Formato 7 d)'!D19</f>
        <v>393865.78</v>
      </c>
      <c r="S13" s="13">
        <f>'Formato 7 d)'!E19</f>
        <v>471196.19</v>
      </c>
      <c r="T13" s="13">
        <f>'Formato 7 d)'!F19</f>
        <v>142304.54999999999</v>
      </c>
      <c r="U13" s="13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3">
        <f>'Formato 7 d)'!B20</f>
        <v>0</v>
      </c>
      <c r="Q14" s="13">
        <f>'Formato 7 d)'!C20</f>
        <v>2648525.2799999998</v>
      </c>
      <c r="R14" s="13">
        <f>'Formato 7 d)'!D20</f>
        <v>1226872.74</v>
      </c>
      <c r="S14" s="13">
        <f>'Formato 7 d)'!E20</f>
        <v>817746.09</v>
      </c>
      <c r="T14" s="13">
        <f>'Formato 7 d)'!F20</f>
        <v>1111485.95</v>
      </c>
      <c r="U14" s="13">
        <f>'Formato 7 d)'!G20</f>
        <v>1572824.35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3">
        <f>'Formato 7 d)'!B21</f>
        <v>0</v>
      </c>
      <c r="Q15" s="13">
        <f>'Formato 7 d)'!C21</f>
        <v>3179616.74</v>
      </c>
      <c r="R15" s="13">
        <f>'Formato 7 d)'!D21</f>
        <v>4116895.54</v>
      </c>
      <c r="S15" s="13">
        <f>'Formato 7 d)'!E21</f>
        <v>1911734.75</v>
      </c>
      <c r="T15" s="13">
        <f>'Formato 7 d)'!F21</f>
        <v>398908.69</v>
      </c>
      <c r="U15" s="13">
        <f>'Formato 7 d)'!G21</f>
        <v>3613015.12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3">
        <f>'Formato 7 d)'!B22</f>
        <v>0</v>
      </c>
      <c r="Q16" s="13">
        <f>'Formato 7 d)'!C22</f>
        <v>1501302.69</v>
      </c>
      <c r="R16" s="13">
        <f>'Formato 7 d)'!D22</f>
        <v>3952298.01</v>
      </c>
      <c r="S16" s="13">
        <f>'Formato 7 d)'!E22</f>
        <v>3776499.21</v>
      </c>
      <c r="T16" s="13">
        <f>'Formato 7 d)'!F22</f>
        <v>805547</v>
      </c>
      <c r="U16" s="13">
        <f>'Formato 7 d)'!G22</f>
        <v>16350000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3">
        <f>'Formato 7 d)'!B23</f>
        <v>0</v>
      </c>
      <c r="Q17" s="13">
        <f>'Formato 7 d)'!C23</f>
        <v>25520</v>
      </c>
      <c r="R17" s="13">
        <f>'Formato 7 d)'!D23</f>
        <v>1412925.35</v>
      </c>
      <c r="S17" s="13">
        <f>'Formato 7 d)'!E23</f>
        <v>284417.40000000002</v>
      </c>
      <c r="T17" s="13">
        <f>'Formato 7 d)'!F23</f>
        <v>43392</v>
      </c>
      <c r="U17" s="13">
        <f>'Formato 7 d)'!G23</f>
        <v>138132.07999999999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3">
        <f>'Formato 7 d)'!B29</f>
        <v>63920375.779999994</v>
      </c>
      <c r="Q22" s="13">
        <f>'Formato 7 d)'!C29</f>
        <v>62972256.319999993</v>
      </c>
      <c r="R22" s="13">
        <f>'Formato 7 d)'!D29</f>
        <v>77294070.689999998</v>
      </c>
      <c r="S22" s="13">
        <f>'Formato 7 d)'!E29</f>
        <v>78189991.499999985</v>
      </c>
      <c r="T22" s="13">
        <f>'Formato 7 d)'!F29</f>
        <v>74776047.61999999</v>
      </c>
      <c r="U22" s="13">
        <f>'Formato 7 d)'!G29</f>
        <v>97120217.640000001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9" t="s">
        <v>487</v>
      </c>
      <c r="B1" s="139"/>
      <c r="C1" s="139"/>
      <c r="D1" s="139"/>
      <c r="E1" s="139"/>
      <c r="F1" s="139"/>
      <c r="G1" s="90"/>
    </row>
    <row r="2" spans="1:7" x14ac:dyDescent="0.25">
      <c r="A2" s="130" t="str">
        <f>ENTE_PUBLICO</f>
        <v>COMISION MUNICIPAL DE CULTURA FISICA Y DEPORTE DE LEON GUANAJUATO, Gobierno del Estado de Guanajuato</v>
      </c>
      <c r="B2" s="131"/>
      <c r="C2" s="131"/>
      <c r="D2" s="131"/>
      <c r="E2" s="131"/>
      <c r="F2" s="132"/>
    </row>
    <row r="3" spans="1:7" x14ac:dyDescent="0.25">
      <c r="A3" s="136" t="s">
        <v>488</v>
      </c>
      <c r="B3" s="137"/>
      <c r="C3" s="137"/>
      <c r="D3" s="137"/>
      <c r="E3" s="137"/>
      <c r="F3" s="138"/>
    </row>
    <row r="4" spans="1:7" ht="30" x14ac:dyDescent="0.25">
      <c r="A4" s="7"/>
      <c r="B4" s="7" t="s">
        <v>489</v>
      </c>
      <c r="C4" s="7" t="s">
        <v>490</v>
      </c>
      <c r="D4" s="7" t="s">
        <v>491</v>
      </c>
      <c r="E4" s="7" t="s">
        <v>492</v>
      </c>
      <c r="F4" s="7" t="s">
        <v>493</v>
      </c>
    </row>
    <row r="5" spans="1:7" x14ac:dyDescent="0.25">
      <c r="A5" s="99" t="s">
        <v>494</v>
      </c>
      <c r="B5" s="4"/>
      <c r="C5" s="4"/>
      <c r="D5" s="4"/>
      <c r="E5" s="4"/>
      <c r="F5" s="4"/>
    </row>
    <row r="6" spans="1:7" ht="30" x14ac:dyDescent="0.25">
      <c r="A6" s="54" t="s">
        <v>495</v>
      </c>
      <c r="B6" s="50"/>
      <c r="C6" s="50"/>
      <c r="D6" s="50"/>
      <c r="E6" s="50"/>
      <c r="F6" s="50"/>
    </row>
    <row r="7" spans="1:7" x14ac:dyDescent="0.25">
      <c r="A7" s="54" t="s">
        <v>496</v>
      </c>
      <c r="B7" s="50"/>
      <c r="C7" s="50"/>
      <c r="D7" s="50"/>
      <c r="E7" s="50"/>
      <c r="F7" s="50"/>
    </row>
    <row r="8" spans="1:7" x14ac:dyDescent="0.25">
      <c r="A8" s="48"/>
      <c r="B8" s="46"/>
      <c r="C8" s="46"/>
      <c r="D8" s="46"/>
      <c r="E8" s="46"/>
      <c r="F8" s="46"/>
    </row>
    <row r="9" spans="1:7" x14ac:dyDescent="0.25">
      <c r="A9" s="99" t="s">
        <v>497</v>
      </c>
      <c r="B9" s="46"/>
      <c r="C9" s="46"/>
      <c r="D9" s="46"/>
      <c r="E9" s="46"/>
      <c r="F9" s="46"/>
    </row>
    <row r="10" spans="1:7" x14ac:dyDescent="0.25">
      <c r="A10" s="54" t="s">
        <v>498</v>
      </c>
      <c r="B10" s="50">
        <v>192</v>
      </c>
      <c r="C10" s="50"/>
      <c r="D10" s="50"/>
      <c r="E10" s="50"/>
      <c r="F10" s="50"/>
    </row>
    <row r="11" spans="1:7" x14ac:dyDescent="0.25">
      <c r="A11" s="58" t="s">
        <v>499</v>
      </c>
      <c r="B11" s="50">
        <v>79</v>
      </c>
      <c r="C11" s="50"/>
      <c r="D11" s="50"/>
      <c r="E11" s="50"/>
      <c r="F11" s="50"/>
    </row>
    <row r="12" spans="1:7" x14ac:dyDescent="0.25">
      <c r="A12" s="58" t="s">
        <v>500</v>
      </c>
      <c r="B12" s="50">
        <v>19</v>
      </c>
      <c r="C12" s="50"/>
      <c r="D12" s="50"/>
      <c r="E12" s="50"/>
      <c r="F12" s="50"/>
    </row>
    <row r="13" spans="1:7" x14ac:dyDescent="0.25">
      <c r="A13" s="58" t="s">
        <v>501</v>
      </c>
      <c r="B13" s="50">
        <v>47</v>
      </c>
      <c r="C13" s="50"/>
      <c r="D13" s="50"/>
      <c r="E13" s="50"/>
      <c r="F13" s="50"/>
    </row>
    <row r="14" spans="1:7" x14ac:dyDescent="0.25">
      <c r="A14" s="54" t="s">
        <v>502</v>
      </c>
      <c r="B14" s="50"/>
      <c r="C14" s="50"/>
      <c r="D14" s="50"/>
      <c r="E14" s="50"/>
      <c r="F14" s="50"/>
    </row>
    <row r="15" spans="1:7" x14ac:dyDescent="0.25">
      <c r="A15" s="58" t="s">
        <v>499</v>
      </c>
      <c r="B15" s="50"/>
      <c r="C15" s="50"/>
      <c r="D15" s="50"/>
      <c r="E15" s="50"/>
      <c r="F15" s="50"/>
    </row>
    <row r="16" spans="1:7" x14ac:dyDescent="0.25">
      <c r="A16" s="58" t="s">
        <v>500</v>
      </c>
      <c r="B16" s="50"/>
      <c r="C16" s="50"/>
      <c r="D16" s="50"/>
      <c r="E16" s="50"/>
      <c r="F16" s="50"/>
    </row>
    <row r="17" spans="1:6" x14ac:dyDescent="0.25">
      <c r="A17" s="58" t="s">
        <v>501</v>
      </c>
      <c r="B17" s="50"/>
      <c r="C17" s="50"/>
      <c r="D17" s="50"/>
      <c r="E17" s="50"/>
      <c r="F17" s="50"/>
    </row>
    <row r="18" spans="1:6" x14ac:dyDescent="0.25">
      <c r="A18" s="54" t="s">
        <v>503</v>
      </c>
      <c r="B18" s="118"/>
      <c r="C18" s="50"/>
      <c r="D18" s="50"/>
      <c r="E18" s="50"/>
      <c r="F18" s="50"/>
    </row>
    <row r="19" spans="1:6" x14ac:dyDescent="0.25">
      <c r="A19" s="54" t="s">
        <v>504</v>
      </c>
      <c r="B19" s="50">
        <v>7</v>
      </c>
      <c r="C19" s="50"/>
      <c r="D19" s="50"/>
      <c r="E19" s="50"/>
      <c r="F19" s="50"/>
    </row>
    <row r="20" spans="1:6" x14ac:dyDescent="0.25">
      <c r="A20" s="54" t="s">
        <v>505</v>
      </c>
      <c r="B20" s="119"/>
      <c r="C20" s="119"/>
      <c r="D20" s="119"/>
      <c r="E20" s="119"/>
      <c r="F20" s="119"/>
    </row>
    <row r="21" spans="1:6" x14ac:dyDescent="0.25">
      <c r="A21" s="54" t="s">
        <v>506</v>
      </c>
      <c r="B21" s="119"/>
      <c r="C21" s="119"/>
      <c r="D21" s="119"/>
      <c r="E21" s="119"/>
      <c r="F21" s="119"/>
    </row>
    <row r="22" spans="1:6" x14ac:dyDescent="0.25">
      <c r="A22" s="54" t="s">
        <v>507</v>
      </c>
      <c r="B22" s="119">
        <v>0</v>
      </c>
      <c r="C22" s="119"/>
      <c r="D22" s="119"/>
      <c r="E22" s="119"/>
      <c r="F22" s="119"/>
    </row>
    <row r="23" spans="1:6" x14ac:dyDescent="0.25">
      <c r="A23" s="54" t="s">
        <v>508</v>
      </c>
      <c r="B23" s="119"/>
      <c r="C23" s="119"/>
      <c r="D23" s="119"/>
      <c r="E23" s="119"/>
      <c r="F23" s="119"/>
    </row>
    <row r="24" spans="1:6" x14ac:dyDescent="0.25">
      <c r="A24" s="54" t="s">
        <v>509</v>
      </c>
      <c r="B24" s="120">
        <v>60</v>
      </c>
      <c r="C24" s="50"/>
      <c r="D24" s="50"/>
      <c r="E24" s="50"/>
      <c r="F24" s="50"/>
    </row>
    <row r="25" spans="1:6" x14ac:dyDescent="0.25">
      <c r="A25" s="54" t="s">
        <v>510</v>
      </c>
      <c r="B25" s="120">
        <v>60</v>
      </c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511</v>
      </c>
      <c r="B27" s="46"/>
      <c r="C27" s="46"/>
      <c r="D27" s="46"/>
      <c r="E27" s="46"/>
      <c r="F27" s="46"/>
    </row>
    <row r="28" spans="1:6" x14ac:dyDescent="0.25">
      <c r="A28" s="54" t="s">
        <v>512</v>
      </c>
      <c r="B28" s="50">
        <v>84000</v>
      </c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513</v>
      </c>
      <c r="B30" s="46"/>
      <c r="C30" s="46"/>
      <c r="D30" s="46"/>
      <c r="E30" s="46"/>
      <c r="F30" s="46"/>
    </row>
    <row r="31" spans="1:6" x14ac:dyDescent="0.25">
      <c r="A31" s="54" t="s">
        <v>498</v>
      </c>
      <c r="B31" s="50">
        <v>192</v>
      </c>
      <c r="C31" s="50"/>
      <c r="D31" s="50"/>
      <c r="E31" s="50"/>
      <c r="F31" s="50"/>
    </row>
    <row r="32" spans="1:6" x14ac:dyDescent="0.25">
      <c r="A32" s="54" t="s">
        <v>502</v>
      </c>
      <c r="B32" s="50"/>
      <c r="C32" s="50"/>
      <c r="D32" s="50"/>
      <c r="E32" s="50"/>
      <c r="F32" s="50"/>
    </row>
    <row r="33" spans="1:6" x14ac:dyDescent="0.25">
      <c r="A33" s="54" t="s">
        <v>514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515</v>
      </c>
      <c r="B35" s="46"/>
      <c r="C35" s="46"/>
      <c r="D35" s="46"/>
      <c r="E35" s="46"/>
      <c r="F35" s="46"/>
    </row>
    <row r="36" spans="1:6" x14ac:dyDescent="0.25">
      <c r="A36" s="54" t="s">
        <v>516</v>
      </c>
      <c r="B36" s="50"/>
      <c r="C36" s="50"/>
      <c r="D36" s="50"/>
      <c r="E36" s="50"/>
      <c r="F36" s="50"/>
    </row>
    <row r="37" spans="1:6" x14ac:dyDescent="0.25">
      <c r="A37" s="54" t="s">
        <v>517</v>
      </c>
      <c r="B37" s="50"/>
      <c r="C37" s="50"/>
      <c r="D37" s="50"/>
      <c r="E37" s="50"/>
      <c r="F37" s="50"/>
    </row>
    <row r="38" spans="1:6" x14ac:dyDescent="0.25">
      <c r="A38" s="54" t="s">
        <v>518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519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520</v>
      </c>
      <c r="B42" s="46"/>
      <c r="C42" s="46"/>
      <c r="D42" s="46"/>
      <c r="E42" s="46"/>
      <c r="F42" s="46"/>
    </row>
    <row r="43" spans="1:6" x14ac:dyDescent="0.25">
      <c r="A43" s="54" t="s">
        <v>521</v>
      </c>
      <c r="B43" s="50"/>
      <c r="C43" s="50"/>
      <c r="D43" s="50"/>
      <c r="E43" s="50"/>
      <c r="F43" s="50"/>
    </row>
    <row r="44" spans="1:6" x14ac:dyDescent="0.25">
      <c r="A44" s="54" t="s">
        <v>522</v>
      </c>
      <c r="B44" s="50">
        <v>13</v>
      </c>
      <c r="C44" s="50"/>
      <c r="D44" s="50"/>
      <c r="E44" s="50"/>
      <c r="F44" s="50"/>
    </row>
    <row r="45" spans="1:6" x14ac:dyDescent="0.25">
      <c r="A45" s="54" t="s">
        <v>523</v>
      </c>
      <c r="B45" s="50">
        <v>179</v>
      </c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524</v>
      </c>
      <c r="B47" s="46"/>
      <c r="C47" s="46"/>
      <c r="D47" s="46"/>
      <c r="E47" s="46"/>
      <c r="F47" s="46"/>
    </row>
    <row r="48" spans="1:6" x14ac:dyDescent="0.25">
      <c r="A48" s="54" t="s">
        <v>522</v>
      </c>
      <c r="B48" s="119">
        <v>0.96699999999999997</v>
      </c>
      <c r="C48" s="119"/>
      <c r="D48" s="119"/>
      <c r="E48" s="119"/>
      <c r="F48" s="119"/>
    </row>
    <row r="49" spans="1:6" x14ac:dyDescent="0.25">
      <c r="A49" s="54" t="s">
        <v>523</v>
      </c>
      <c r="B49" s="119">
        <v>3.3000000000000002E-2</v>
      </c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525</v>
      </c>
      <c r="B51" s="46"/>
      <c r="C51" s="46"/>
      <c r="D51" s="46"/>
      <c r="E51" s="46"/>
      <c r="F51" s="46"/>
    </row>
    <row r="52" spans="1:6" x14ac:dyDescent="0.25">
      <c r="A52" s="54" t="s">
        <v>522</v>
      </c>
      <c r="B52" s="50">
        <v>102532.56</v>
      </c>
      <c r="C52" s="50"/>
      <c r="D52" s="50"/>
      <c r="E52" s="50"/>
      <c r="F52" s="50"/>
    </row>
    <row r="53" spans="1:6" x14ac:dyDescent="0.25">
      <c r="A53" s="54" t="s">
        <v>523</v>
      </c>
      <c r="B53" s="50">
        <v>4142729.6</v>
      </c>
      <c r="C53" s="50"/>
      <c r="D53" s="50"/>
      <c r="E53" s="50"/>
      <c r="F53" s="50"/>
    </row>
    <row r="54" spans="1:6" x14ac:dyDescent="0.25">
      <c r="A54" s="54" t="s">
        <v>526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527</v>
      </c>
      <c r="B56" s="46"/>
      <c r="C56" s="46"/>
      <c r="D56" s="46"/>
      <c r="E56" s="46"/>
      <c r="F56" s="46"/>
    </row>
    <row r="57" spans="1:6" x14ac:dyDescent="0.25">
      <c r="A57" s="54" t="s">
        <v>522</v>
      </c>
      <c r="B57" s="50"/>
      <c r="C57" s="50"/>
      <c r="D57" s="50"/>
      <c r="E57" s="50"/>
      <c r="F57" s="50"/>
    </row>
    <row r="58" spans="1:6" x14ac:dyDescent="0.25">
      <c r="A58" s="54" t="s">
        <v>523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528</v>
      </c>
      <c r="B60" s="46"/>
      <c r="C60" s="46"/>
      <c r="D60" s="46"/>
      <c r="E60" s="46"/>
      <c r="F60" s="46"/>
    </row>
    <row r="61" spans="1:6" x14ac:dyDescent="0.25">
      <c r="A61" s="54" t="s">
        <v>529</v>
      </c>
      <c r="B61" s="50"/>
      <c r="C61" s="50"/>
      <c r="D61" s="50"/>
      <c r="E61" s="50"/>
      <c r="F61" s="50"/>
    </row>
    <row r="62" spans="1:6" x14ac:dyDescent="0.25">
      <c r="A62" s="54" t="s">
        <v>530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531</v>
      </c>
      <c r="B64" s="46"/>
      <c r="C64" s="46"/>
      <c r="D64" s="46"/>
      <c r="E64" s="46"/>
      <c r="F64" s="46"/>
    </row>
    <row r="65" spans="1:6" x14ac:dyDescent="0.25">
      <c r="A65" s="54" t="s">
        <v>532</v>
      </c>
      <c r="B65" s="50"/>
      <c r="C65" s="50"/>
      <c r="D65" s="50"/>
      <c r="E65" s="50"/>
      <c r="F65" s="50"/>
    </row>
    <row r="66" spans="1:6" x14ac:dyDescent="0.25">
      <c r="A66" s="54" t="s">
        <v>533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scale="4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7" t="s">
        <v>3271</v>
      </c>
      <c r="Q1" s="7" t="s">
        <v>3272</v>
      </c>
      <c r="R1" s="7" t="s">
        <v>3273</v>
      </c>
      <c r="S1" s="7" t="s">
        <v>3274</v>
      </c>
      <c r="T1" s="7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3"/>
      <c r="Q5" s="13"/>
      <c r="R5" s="13"/>
      <c r="S5" s="13"/>
      <c r="T5" s="13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3">
        <f>'Formato 8'!B10</f>
        <v>192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3">
        <f>'Formato 8'!B11</f>
        <v>79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3">
        <f>'Formato 8'!B12</f>
        <v>19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3">
        <f>'Formato 8'!B13</f>
        <v>47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3">
        <f>'Formato 8'!B19</f>
        <v>7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3">
        <f>'Formato 8'!B24</f>
        <v>60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3">
        <f>'Formato 8'!B25</f>
        <v>60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3">
        <f>'Formato 8'!B28</f>
        <v>84000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3">
        <f>'Formato 8'!B31</f>
        <v>192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3">
        <f>'Formato 8'!B44</f>
        <v>13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3">
        <f>'Formato 8'!B45</f>
        <v>179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3">
        <f>'Formato 8'!B48</f>
        <v>0.96699999999999997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3">
        <f>'Formato 8'!B49</f>
        <v>3.3000000000000002E-2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3">
        <f>'Formato 8'!B52</f>
        <v>102532.56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3">
        <f>'Formato 8'!B53</f>
        <v>4142729.6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zoomScale="90" zoomScaleNormal="90" workbookViewId="0">
      <selection activeCell="E51" sqref="E5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9" t="s">
        <v>537</v>
      </c>
      <c r="B1" s="139"/>
      <c r="C1" s="139"/>
      <c r="D1" s="139"/>
      <c r="E1" s="139"/>
      <c r="F1" s="139"/>
    </row>
    <row r="2" spans="1:6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2"/>
    </row>
    <row r="3" spans="1:6" x14ac:dyDescent="0.25">
      <c r="A3" s="133" t="s">
        <v>117</v>
      </c>
      <c r="B3" s="134"/>
      <c r="C3" s="134"/>
      <c r="D3" s="134"/>
      <c r="E3" s="134"/>
      <c r="F3" s="135"/>
    </row>
    <row r="4" spans="1:6" x14ac:dyDescent="0.25">
      <c r="A4" s="133" t="str">
        <f>PERIODO_INFORME</f>
        <v>Al 31 de diciembre de 2017 y al 31 de diciembre de 2018 (b)</v>
      </c>
      <c r="B4" s="134"/>
      <c r="C4" s="134"/>
      <c r="D4" s="134"/>
      <c r="E4" s="134"/>
      <c r="F4" s="135"/>
    </row>
    <row r="5" spans="1:6" x14ac:dyDescent="0.25">
      <c r="A5" s="136" t="s">
        <v>118</v>
      </c>
      <c r="B5" s="137"/>
      <c r="C5" s="137"/>
      <c r="D5" s="137"/>
      <c r="E5" s="137"/>
      <c r="F5" s="138"/>
    </row>
    <row r="6" spans="1:6" ht="30" x14ac:dyDescent="0.25">
      <c r="A6" s="110" t="s">
        <v>3276</v>
      </c>
      <c r="B6" s="111" t="str">
        <f>ANIO</f>
        <v>2018 (d)</v>
      </c>
      <c r="C6" s="108" t="str">
        <f>ULTIMO</f>
        <v>31 de diciembre de 2017 (e)</v>
      </c>
      <c r="D6" s="112" t="s">
        <v>0</v>
      </c>
      <c r="E6" s="111" t="str">
        <f>ANIO</f>
        <v>2018 (d)</v>
      </c>
      <c r="F6" s="108" t="str">
        <f>ULTIMO</f>
        <v>31 de diciembre de 2017 (e)</v>
      </c>
    </row>
    <row r="7" spans="1:6" x14ac:dyDescent="0.25">
      <c r="A7" s="31" t="s">
        <v>1</v>
      </c>
      <c r="B7" s="46"/>
      <c r="C7" s="46"/>
      <c r="D7" s="79" t="s">
        <v>52</v>
      </c>
      <c r="E7" s="46"/>
      <c r="F7" s="46"/>
    </row>
    <row r="8" spans="1:6" x14ac:dyDescent="0.2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4069443.08</v>
      </c>
      <c r="C9" s="50">
        <f>SUM(C10:C16)</f>
        <v>4547873.2300000004</v>
      </c>
      <c r="D9" s="80" t="s">
        <v>54</v>
      </c>
      <c r="E9" s="50">
        <f>SUM(E10:E18)</f>
        <v>7508477.1299999999</v>
      </c>
      <c r="F9" s="50">
        <f>SUM(F10:F18)</f>
        <v>5713699.7400000002</v>
      </c>
    </row>
    <row r="10" spans="1:6" x14ac:dyDescent="0.25">
      <c r="A10" s="78" t="s">
        <v>4</v>
      </c>
      <c r="B10" s="50">
        <v>18800</v>
      </c>
      <c r="C10" s="50">
        <v>16900</v>
      </c>
      <c r="D10" s="81" t="s">
        <v>55</v>
      </c>
      <c r="E10" s="50">
        <v>0</v>
      </c>
      <c r="F10" s="50">
        <v>0</v>
      </c>
    </row>
    <row r="11" spans="1:6" x14ac:dyDescent="0.25">
      <c r="A11" s="78" t="s">
        <v>5</v>
      </c>
      <c r="B11" s="50">
        <v>4037417.08</v>
      </c>
      <c r="C11" s="50">
        <v>4517747.2300000004</v>
      </c>
      <c r="D11" s="81" t="s">
        <v>56</v>
      </c>
      <c r="E11" s="50">
        <v>4380202.09</v>
      </c>
      <c r="F11" s="50">
        <v>2773864.79</v>
      </c>
    </row>
    <row r="12" spans="1:6" x14ac:dyDescent="0.25">
      <c r="A12" s="78" t="s">
        <v>6</v>
      </c>
      <c r="B12" s="50">
        <v>0</v>
      </c>
      <c r="C12" s="50">
        <v>0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0</v>
      </c>
      <c r="C13" s="50">
        <v>0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13226</v>
      </c>
      <c r="C15" s="50">
        <v>13226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1535679.83</v>
      </c>
      <c r="F16" s="50">
        <v>1272776.76</v>
      </c>
    </row>
    <row r="17" spans="1:6" x14ac:dyDescent="0.25">
      <c r="A17" s="77" t="s">
        <v>11</v>
      </c>
      <c r="B17" s="50">
        <v>2658427.94</v>
      </c>
      <c r="C17" s="50">
        <f>SUM(C18:C24)</f>
        <v>440890.13</v>
      </c>
      <c r="D17" s="81" t="s">
        <v>62</v>
      </c>
      <c r="E17" s="50">
        <v>0</v>
      </c>
      <c r="F17" s="50">
        <v>0</v>
      </c>
    </row>
    <row r="18" spans="1:6" x14ac:dyDescent="0.25">
      <c r="A18" s="78" t="s">
        <v>12</v>
      </c>
      <c r="B18" s="50">
        <v>0</v>
      </c>
      <c r="C18" s="50">
        <v>0</v>
      </c>
      <c r="D18" s="81" t="s">
        <v>63</v>
      </c>
      <c r="E18" s="50">
        <v>1592595.21</v>
      </c>
      <c r="F18" s="50">
        <v>1667058.19</v>
      </c>
    </row>
    <row r="19" spans="1:6" x14ac:dyDescent="0.2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>
        <v>2658427.94</v>
      </c>
      <c r="C20" s="50">
        <v>440890.13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0</v>
      </c>
      <c r="F22" s="50">
        <v>0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0</v>
      </c>
      <c r="C26" s="50">
        <v>0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108450.03</v>
      </c>
      <c r="C37" s="50">
        <v>105479.76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v>129045.45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129045.45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v>6836321.0499999998</v>
      </c>
      <c r="C47" s="51">
        <f>C9+C17+C25+C31+C38+C41+C37</f>
        <v>5094243.12</v>
      </c>
      <c r="D47" s="79" t="s">
        <v>91</v>
      </c>
      <c r="E47" s="51">
        <f>SUM(E9+E19+E26+E27+E31+E38+E42)</f>
        <v>7637522.5800000001</v>
      </c>
      <c r="F47" s="51">
        <f>F9+F19+F23+F26+F27+F31+F38+F42</f>
        <v>5713699.7400000002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0</v>
      </c>
      <c r="C52" s="50">
        <v>0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14831271.369999999</v>
      </c>
      <c r="C53" s="50">
        <v>14358000.210000001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571568.56999999995</v>
      </c>
      <c r="C54" s="50">
        <v>558588.75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-8316736.6200000001</v>
      </c>
      <c r="C55" s="50">
        <v>-6995155.5700000003</v>
      </c>
      <c r="D55" s="30" t="s">
        <v>98</v>
      </c>
      <c r="E55" s="50">
        <v>51844.99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51844.99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SUM(E47+E57)</f>
        <v>7689367.5700000003</v>
      </c>
      <c r="F59" s="51">
        <f>F47+F57</f>
        <v>5713699.7400000002</v>
      </c>
    </row>
    <row r="60" spans="1:6" x14ac:dyDescent="0.25">
      <c r="A60" s="47" t="s">
        <v>50</v>
      </c>
      <c r="B60" s="51">
        <f>SUM(B50:B58)</f>
        <v>7086103.3199999994</v>
      </c>
      <c r="C60" s="51">
        <f>SUM(C50:C58)</f>
        <v>7921433.3900000006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13922424.369999999</v>
      </c>
      <c r="C62" s="51">
        <f>SUM(C47+C60)</f>
        <v>13015676.510000002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216450</v>
      </c>
      <c r="F63" s="50">
        <f>SUM(F64:F66)</f>
        <v>216450</v>
      </c>
    </row>
    <row r="64" spans="1:6" x14ac:dyDescent="0.25">
      <c r="A64" s="46"/>
      <c r="B64" s="46"/>
      <c r="C64" s="46"/>
      <c r="D64" s="80" t="s">
        <v>103</v>
      </c>
      <c r="E64" s="50">
        <v>0</v>
      </c>
      <c r="F64" s="50">
        <v>0</v>
      </c>
    </row>
    <row r="65" spans="1:6" x14ac:dyDescent="0.25">
      <c r="A65" s="46"/>
      <c r="B65" s="46"/>
      <c r="C65" s="46"/>
      <c r="D65" s="30" t="s">
        <v>104</v>
      </c>
      <c r="E65" s="50">
        <v>216450</v>
      </c>
      <c r="F65" s="50">
        <v>216450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v>6016606.7999999998</v>
      </c>
      <c r="F68" s="50">
        <f>SUM(F69:F73)</f>
        <v>7085526.7700000005</v>
      </c>
    </row>
    <row r="69" spans="1:6" x14ac:dyDescent="0.25">
      <c r="A69" s="4"/>
      <c r="B69" s="46"/>
      <c r="C69" s="46"/>
      <c r="D69" s="80" t="s">
        <v>107</v>
      </c>
      <c r="E69" s="50">
        <v>-1035345.4</v>
      </c>
      <c r="F69" s="50">
        <v>2078727.08</v>
      </c>
    </row>
    <row r="70" spans="1:6" x14ac:dyDescent="0.25">
      <c r="A70" s="4"/>
      <c r="B70" s="46"/>
      <c r="C70" s="46"/>
      <c r="D70" s="80" t="s">
        <v>108</v>
      </c>
      <c r="E70" s="50">
        <v>7600748.1200000001</v>
      </c>
      <c r="F70" s="50">
        <v>-1284404.3899999999</v>
      </c>
    </row>
    <row r="71" spans="1:6" x14ac:dyDescent="0.25">
      <c r="A71" s="4"/>
      <c r="B71" s="46"/>
      <c r="C71" s="46"/>
      <c r="D71" s="80" t="s">
        <v>109</v>
      </c>
      <c r="E71" s="50">
        <v>6291204.0800000001</v>
      </c>
      <c r="F71" s="50">
        <v>6291204.0800000001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SUM(E63+E68+E75)</f>
        <v>6233056.7999999998</v>
      </c>
      <c r="F79" s="51">
        <f>F63+F68+F75</f>
        <v>7301976.7700000005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SUM(E59+E79)</f>
        <v>13922424.370000001</v>
      </c>
      <c r="F81" s="51">
        <f>F59+F79</f>
        <v>13015676.510000002</v>
      </c>
    </row>
    <row r="82" spans="1:6" x14ac:dyDescent="0.25">
      <c r="A82" s="5"/>
      <c r="B82" s="49"/>
      <c r="C82" s="49"/>
      <c r="D82" s="49"/>
      <c r="E82" s="49"/>
      <c r="F82" s="4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0866141732283472" right="0.70866141732283472" top="0.39370078740157483" bottom="0.39370078740157483" header="0.31496062992125984" footer="0.31496062992125984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549</v>
      </c>
      <c r="Q2" s="13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549</v>
      </c>
      <c r="Q3" s="13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3">
        <f>'Formato 1'!B9</f>
        <v>4069443.08</v>
      </c>
      <c r="Q4" s="13">
        <f>'Formato 1'!C9</f>
        <v>4547873.2300000004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3">
        <f>'Formato 1'!B10</f>
        <v>18800</v>
      </c>
      <c r="Q5" s="13">
        <f>'Formato 1'!C10</f>
        <v>16900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3">
        <f>'Formato 1'!B11</f>
        <v>4037417.08</v>
      </c>
      <c r="Q6" s="13">
        <f>'Formato 1'!C11</f>
        <v>4517747.2300000004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3">
        <f>'Formato 1'!B12</f>
        <v>0</v>
      </c>
      <c r="Q7" s="13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3">
        <f>'Formato 1'!B15</f>
        <v>13226</v>
      </c>
      <c r="Q10" s="13">
        <f>'Formato 1'!C15</f>
        <v>13226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3">
        <f>'Formato 1'!B16</f>
        <v>0</v>
      </c>
      <c r="Q11" s="13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3">
        <f>'Formato 1'!B17</f>
        <v>2658427.94</v>
      </c>
      <c r="Q12" s="13">
        <f>'Formato 1'!C17</f>
        <v>440890.13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3">
        <f>'Formato 1'!B18</f>
        <v>0</v>
      </c>
      <c r="Q13" s="13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3">
        <f>'Formato 1'!B19</f>
        <v>0</v>
      </c>
      <c r="Q14" s="13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3">
        <f>'Formato 1'!B20</f>
        <v>2658427.94</v>
      </c>
      <c r="Q15" s="13">
        <f>'Formato 1'!C20</f>
        <v>440890.13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3">
        <f>'Formato 1'!B23</f>
        <v>0</v>
      </c>
      <c r="Q18" s="13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3">
        <f>'Formato 1'!B24</f>
        <v>0</v>
      </c>
      <c r="Q19" s="13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3">
        <f>'Formato 1'!B37</f>
        <v>108450.03</v>
      </c>
      <c r="Q32" s="13">
        <f>'Formato 1'!C37</f>
        <v>105479.76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3">
        <f>'Formato 1'!B37</f>
        <v>108450.03</v>
      </c>
      <c r="Q33" s="13">
        <f>'Formato 1'!C37</f>
        <v>105479.76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3">
        <f>'Formato 1'!B47</f>
        <v>6836321.0499999998</v>
      </c>
      <c r="Q42" s="13">
        <f>'Formato 1'!C47</f>
        <v>5094243.12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14831271.369999999</v>
      </c>
      <c r="Q47">
        <f>'Formato 1'!C53</f>
        <v>14358000.210000001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571568.56999999995</v>
      </c>
      <c r="Q48">
        <f>'Formato 1'!C54</f>
        <v>558588.75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-8316736.6200000001</v>
      </c>
      <c r="Q49">
        <f>'Formato 1'!C55</f>
        <v>-6995155.5700000003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7086103.3199999994</v>
      </c>
      <c r="Q53">
        <f>'Formato 1'!C60</f>
        <v>7921433.3900000006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13922424.369999999</v>
      </c>
      <c r="Q54">
        <f>'Formato 1'!C62</f>
        <v>13015676.510000002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7508477.1299999999</v>
      </c>
      <c r="Q57">
        <f>'Formato 1'!F9</f>
        <v>5713699.7400000002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4380202.09</v>
      </c>
      <c r="Q59">
        <f>'Formato 1'!F11</f>
        <v>2773864.79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1535679.83</v>
      </c>
      <c r="Q64">
        <f>'Formato 1'!F16</f>
        <v>1272776.76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1592595.21</v>
      </c>
      <c r="Q66">
        <f>'Formato 1'!F18</f>
        <v>1667058.19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129045.45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129045.45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7637522.5800000001</v>
      </c>
      <c r="Q95">
        <f>'Formato 1'!F47</f>
        <v>5713699.7400000002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51844.99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51844.99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7689367.5700000003</v>
      </c>
      <c r="Q104">
        <f>'Formato 1'!F59</f>
        <v>5713699.7400000002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216450</v>
      </c>
      <c r="Q106">
        <f>'Formato 1'!F63</f>
        <v>216450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216450</v>
      </c>
      <c r="Q108">
        <f>'Formato 1'!F65</f>
        <v>216450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6016606.7999999998</v>
      </c>
      <c r="Q110">
        <f>'Formato 1'!F68</f>
        <v>7085526.7700000005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-1035345.4</v>
      </c>
      <c r="Q111">
        <f>'Formato 1'!F69</f>
        <v>2078727.08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7600748.1200000001</v>
      </c>
      <c r="Q112">
        <f>'Formato 1'!F70</f>
        <v>-1284404.3899999999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6291204.0800000001</v>
      </c>
      <c r="Q113">
        <f>'Formato 1'!F71</f>
        <v>6291204.0800000001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6233056.7999999998</v>
      </c>
      <c r="Q119">
        <f>'Formato 1'!F79</f>
        <v>7301976.7700000005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13922424.370000001</v>
      </c>
      <c r="Q120">
        <f>'Formato 1'!F81</f>
        <v>13015676.510000002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topLeftCell="A2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1" t="s">
        <v>536</v>
      </c>
      <c r="B1" s="141"/>
      <c r="C1" s="141"/>
      <c r="D1" s="141"/>
      <c r="E1" s="141"/>
      <c r="F1" s="141"/>
      <c r="G1" s="141"/>
      <c r="H1" s="141"/>
    </row>
    <row r="2" spans="1:9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1"/>
      <c r="G2" s="131"/>
      <c r="H2" s="132"/>
    </row>
    <row r="3" spans="1:9" x14ac:dyDescent="0.25">
      <c r="A3" s="133" t="s">
        <v>120</v>
      </c>
      <c r="B3" s="134"/>
      <c r="C3" s="134"/>
      <c r="D3" s="134"/>
      <c r="E3" s="134"/>
      <c r="F3" s="134"/>
      <c r="G3" s="134"/>
      <c r="H3" s="135"/>
    </row>
    <row r="4" spans="1:9" x14ac:dyDescent="0.25">
      <c r="A4" s="133" t="str">
        <f>PERIODO_INFORME</f>
        <v>Al 31 de diciembre de 2017 y al 31 de diciembre de 2018 (b)</v>
      </c>
      <c r="B4" s="134"/>
      <c r="C4" s="134"/>
      <c r="D4" s="134"/>
      <c r="E4" s="134"/>
      <c r="F4" s="134"/>
      <c r="G4" s="134"/>
      <c r="H4" s="135"/>
    </row>
    <row r="5" spans="1:9" x14ac:dyDescent="0.25">
      <c r="A5" s="136" t="s">
        <v>118</v>
      </c>
      <c r="B5" s="137"/>
      <c r="C5" s="137"/>
      <c r="D5" s="137"/>
      <c r="E5" s="137"/>
      <c r="F5" s="137"/>
      <c r="G5" s="137"/>
      <c r="H5" s="138"/>
    </row>
    <row r="6" spans="1:9" ht="45" x14ac:dyDescent="0.25">
      <c r="A6" s="83" t="s">
        <v>121</v>
      </c>
      <c r="B6" s="84" t="str">
        <f>ULTIMO_SALDO</f>
        <v>Saldo al 31 de diciembre de 2017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x14ac:dyDescent="0.2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x14ac:dyDescent="0.2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x14ac:dyDescent="0.2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5713699.7400000002</v>
      </c>
      <c r="C18" s="109"/>
      <c r="D18" s="109"/>
      <c r="E18" s="109"/>
      <c r="F18" s="51">
        <v>7689367.5700000003</v>
      </c>
      <c r="G18" s="109"/>
      <c r="H18" s="109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5713699.7400000002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v>7689367.5700000003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3288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434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435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436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678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3289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437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438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439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678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0" t="s">
        <v>3292</v>
      </c>
      <c r="B33" s="140"/>
      <c r="C33" s="140"/>
      <c r="D33" s="140"/>
      <c r="E33" s="140"/>
      <c r="F33" s="140"/>
      <c r="G33" s="140"/>
      <c r="H33" s="140"/>
    </row>
    <row r="34" spans="1:8" ht="12" customHeight="1" x14ac:dyDescent="0.25">
      <c r="A34" s="140"/>
      <c r="B34" s="140"/>
      <c r="C34" s="140"/>
      <c r="D34" s="140"/>
      <c r="E34" s="140"/>
      <c r="F34" s="140"/>
      <c r="G34" s="140"/>
      <c r="H34" s="140"/>
    </row>
    <row r="35" spans="1:8" ht="12" customHeight="1" x14ac:dyDescent="0.25">
      <c r="A35" s="140"/>
      <c r="B35" s="140"/>
      <c r="C35" s="140"/>
      <c r="D35" s="140"/>
      <c r="E35" s="140"/>
      <c r="F35" s="140"/>
      <c r="G35" s="140"/>
      <c r="H35" s="140"/>
    </row>
    <row r="36" spans="1:8" ht="12" customHeight="1" x14ac:dyDescent="0.25">
      <c r="A36" s="140"/>
      <c r="B36" s="140"/>
      <c r="C36" s="140"/>
      <c r="D36" s="140"/>
      <c r="E36" s="140"/>
      <c r="F36" s="140"/>
      <c r="G36" s="140"/>
      <c r="H36" s="140"/>
    </row>
    <row r="37" spans="1:8" ht="12" customHeight="1" x14ac:dyDescent="0.25">
      <c r="A37" s="140"/>
      <c r="B37" s="140"/>
      <c r="C37" s="140"/>
      <c r="D37" s="140"/>
      <c r="E37" s="140"/>
      <c r="F37" s="140"/>
      <c r="G37" s="140"/>
      <c r="H37" s="140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440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</row>
    <row r="43" spans="1:8" s="18" customFormat="1" x14ac:dyDescent="0.25">
      <c r="A43" s="88" t="s">
        <v>441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</row>
    <row r="44" spans="1:8" s="18" customFormat="1" x14ac:dyDescent="0.25">
      <c r="A44" s="88" t="s">
        <v>442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8" x14ac:dyDescent="0.25">
      <c r="A45" s="14" t="s">
        <v>678</v>
      </c>
      <c r="B45" s="5"/>
      <c r="C45" s="5"/>
      <c r="D45" s="5"/>
      <c r="E45" s="5"/>
      <c r="F45" s="5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3" t="s">
        <v>549</v>
      </c>
      <c r="Q2" s="13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x14ac:dyDescent="0.2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3">
        <f>'Formato 2'!B18</f>
        <v>5713699.7400000002</v>
      </c>
      <c r="Q12" s="13"/>
      <c r="R12" s="13"/>
      <c r="S12" s="13"/>
      <c r="T12" s="13">
        <f>'Formato 2'!F18</f>
        <v>7689367.5700000003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3">
        <f>'Formato 2'!B20</f>
        <v>5713699.7400000002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7689367.5700000003</v>
      </c>
      <c r="U13" s="13">
        <f>'Formato 2'!G20</f>
        <v>0</v>
      </c>
      <c r="V13" s="13">
        <f>'Formato 2'!H20</f>
        <v>0</v>
      </c>
    </row>
    <row r="14" spans="1:22" x14ac:dyDescent="0.25">
      <c r="A14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topLeftCell="B1" zoomScale="90" zoomScaleNormal="90" workbookViewId="0">
      <selection activeCell="I16" sqref="I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9" t="s">
        <v>535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90"/>
    </row>
    <row r="2" spans="1:12" x14ac:dyDescent="0.25">
      <c r="A2" s="130" t="str">
        <f>ENTE_PUBLICO_A</f>
        <v>COMISION MUNICIPAL DE CULTURA FISICA Y DEPORTE DE LEON GUANAJUATO, Gobierno del Estado de Guanajuato (a)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2" x14ac:dyDescent="0.25">
      <c r="A3" s="133" t="s">
        <v>146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2" x14ac:dyDescent="0.25">
      <c r="A4" s="133" t="str">
        <f>TRIMESTRE</f>
        <v>Del 1 de enero al 31 de diciembre de 2018 (b)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2" x14ac:dyDescent="0.25">
      <c r="A5" s="133" t="s">
        <v>118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2018 (k)</v>
      </c>
      <c r="J6" s="108" t="str">
        <f>MONTO2</f>
        <v>Monto pagado de la inversión actualizado al 31 de diciembre de 2018 (l)</v>
      </c>
      <c r="K6" s="108" t="str">
        <f>SALDO_PENDIENTE</f>
        <v>Saldo pendiente por pagar de la inversión al 31 de diciembre de 2018 (m = g – l)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x14ac:dyDescent="0.25">
      <c r="A9" s="93" t="s">
        <v>156</v>
      </c>
      <c r="B9" s="91"/>
      <c r="C9" s="91"/>
      <c r="D9" s="91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f>E9-J9</f>
        <v>0</v>
      </c>
    </row>
    <row r="10" spans="1:12" s="18" customFormat="1" x14ac:dyDescent="0.25">
      <c r="A10" s="93" t="s">
        <v>157</v>
      </c>
      <c r="B10" s="91"/>
      <c r="C10" s="91"/>
      <c r="D10" s="91"/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f t="shared" ref="K10:K12" si="0">E10-J10</f>
        <v>0</v>
      </c>
    </row>
    <row r="11" spans="1:12" s="18" customFormat="1" x14ac:dyDescent="0.25">
      <c r="A11" s="93" t="s">
        <v>158</v>
      </c>
      <c r="B11" s="91"/>
      <c r="C11" s="91"/>
      <c r="D11" s="91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f t="shared" si="0"/>
        <v>0</v>
      </c>
    </row>
    <row r="12" spans="1:12" s="18" customFormat="1" x14ac:dyDescent="0.25">
      <c r="A12" s="93" t="s">
        <v>159</v>
      </c>
      <c r="B12" s="91"/>
      <c r="C12" s="91"/>
      <c r="D12" s="91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f t="shared" si="0"/>
        <v>0</v>
      </c>
    </row>
    <row r="13" spans="1:12" x14ac:dyDescent="0.25">
      <c r="A13" s="94" t="s">
        <v>678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x14ac:dyDescent="0.25">
      <c r="A15" s="93" t="s">
        <v>161</v>
      </c>
      <c r="B15" s="91"/>
      <c r="C15" s="91"/>
      <c r="D15" s="91"/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f>E15-J15</f>
        <v>0</v>
      </c>
    </row>
    <row r="16" spans="1:12" s="18" customFormat="1" x14ac:dyDescent="0.25">
      <c r="A16" s="93" t="s">
        <v>162</v>
      </c>
      <c r="B16" s="91"/>
      <c r="C16" s="91"/>
      <c r="D16" s="91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f t="shared" ref="K16:K18" si="1">E16-J16</f>
        <v>0</v>
      </c>
    </row>
    <row r="17" spans="1:11" s="18" customFormat="1" x14ac:dyDescent="0.25">
      <c r="A17" s="93" t="s">
        <v>163</v>
      </c>
      <c r="B17" s="91"/>
      <c r="C17" s="91"/>
      <c r="D17" s="91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f t="shared" si="1"/>
        <v>0</v>
      </c>
    </row>
    <row r="18" spans="1:11" s="18" customFormat="1" x14ac:dyDescent="0.25">
      <c r="A18" s="93" t="s">
        <v>164</v>
      </c>
      <c r="B18" s="91"/>
      <c r="C18" s="91"/>
      <c r="D18" s="91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f t="shared" si="1"/>
        <v>0</v>
      </c>
    </row>
    <row r="19" spans="1:11" x14ac:dyDescent="0.25">
      <c r="A19" s="94" t="s">
        <v>678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3" t="s">
        <v>549</v>
      </c>
      <c r="Q2" s="13" t="s">
        <v>549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200</vt:i4>
      </vt:variant>
    </vt:vector>
  </HeadingPairs>
  <TitlesOfParts>
    <vt:vector size="231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1'!Área_de_impresión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Antonio.Garcia</cp:lastModifiedBy>
  <cp:lastPrinted>2019-02-14T16:52:12Z</cp:lastPrinted>
  <dcterms:created xsi:type="dcterms:W3CDTF">2017-01-19T17:59:06Z</dcterms:created>
  <dcterms:modified xsi:type="dcterms:W3CDTF">2019-03-29T19:25:05Z</dcterms:modified>
</cp:coreProperties>
</file>